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2"/>
  </bookViews>
  <sheets>
    <sheet name="Results" sheetId="1" r:id="rId1"/>
    <sheet name="Revenues" sheetId="2" r:id="rId2"/>
    <sheet name="Capital &amp; Operational Costs" sheetId="3" r:id="rId3"/>
    <sheet name="Κόστος ΥΠΥ" sheetId="4" r:id="rId4"/>
    <sheet name="Traffic MVNO" sheetId="5" r:id="rId5"/>
    <sheet name="Traffic Profile " sheetId="6" r:id="rId6"/>
    <sheet name="GPRS Cost" sheetId="7" r:id="rId7"/>
  </sheets>
  <definedNames>
    <definedName name="_xlnm.Print_Titles" localSheetId="2">'Capital &amp; Operational Costs'!$1:$3</definedName>
  </definedNames>
  <calcPr fullCalcOnLoad="1"/>
</workbook>
</file>

<file path=xl/sharedStrings.xml><?xml version="1.0" encoding="utf-8"?>
<sst xmlns="http://schemas.openxmlformats.org/spreadsheetml/2006/main" count="263" uniqueCount="197">
  <si>
    <t>Συνολικά έσοδα από την παροχή υπηρεσιών κινητής τηλεφωνίας</t>
  </si>
  <si>
    <t>Ετήσιο Κόστος
Λειτουργίας</t>
  </si>
  <si>
    <t>Μοναδιαίο Κόστος</t>
  </si>
  <si>
    <t>Μονάδες</t>
  </si>
  <si>
    <t>Έτη Απόσβεσης Κεφαλαιουχικών Δαπανών</t>
  </si>
  <si>
    <t>Ετήσια Απόσβεση</t>
  </si>
  <si>
    <t>1. Κεφαλαιουχικές Δαπάνες</t>
  </si>
  <si>
    <t>2. Λειτουργικές Δαπάνες</t>
  </si>
  <si>
    <t>Ολικό</t>
  </si>
  <si>
    <t>Κόστος Κεφαλαίου</t>
  </si>
  <si>
    <t>Πληθωρισμός</t>
  </si>
  <si>
    <t>Επιτόκιο</t>
  </si>
  <si>
    <t>Ετήσιες Κεφαλαιουχικές Δαπάνες</t>
  </si>
  <si>
    <t>Ετήσιες Λειτουργικές Δαπάνες</t>
  </si>
  <si>
    <t>Συνολικό Ετήσιο Κόστος</t>
  </si>
  <si>
    <t>Συνολικό Κόστος σε Τρέχουσες Τιμές</t>
  </si>
  <si>
    <t>Συνολικό Ετήσιο Κόστος σε Τρέχουσες Τιμές</t>
  </si>
  <si>
    <t xml:space="preserve">2.1. Monthly Salaries for MVNO employees / call centre etc  </t>
  </si>
  <si>
    <t>2.2. Monthly Marketing Cost</t>
  </si>
  <si>
    <t xml:space="preserve">2.3. Monthly O&amp;M to support systems: </t>
  </si>
  <si>
    <t xml:space="preserve">2.4. Monthly Cost for international links + capacity </t>
  </si>
  <si>
    <t>2.5. Other</t>
  </si>
  <si>
    <t>YEAR 2</t>
  </si>
  <si>
    <t>YEAR 3</t>
  </si>
  <si>
    <t>Number of subs</t>
  </si>
  <si>
    <t>Number of subs using data</t>
  </si>
  <si>
    <t>Total outgoing Minutes</t>
  </si>
  <si>
    <t>Total incoming Minutes</t>
  </si>
  <si>
    <t>Total number of outgoing SMS</t>
  </si>
  <si>
    <t>Total number of incoming SMS</t>
  </si>
  <si>
    <t>Expected Revenues (Euro )</t>
  </si>
  <si>
    <t xml:space="preserve">Assumptions </t>
  </si>
  <si>
    <t>Avg number of incoming minutes</t>
  </si>
  <si>
    <t xml:space="preserve">Avg number of outgoing SMS per sub/month </t>
  </si>
  <si>
    <t>AVG number of incoming SMS/month</t>
  </si>
  <si>
    <t xml:space="preserve">Avg data traffic per active user per month MB </t>
  </si>
  <si>
    <t xml:space="preserve">Local Traffic terminated to : </t>
  </si>
  <si>
    <t xml:space="preserve">  CYTA</t>
  </si>
  <si>
    <t xml:space="preserve">  MTN</t>
  </si>
  <si>
    <t xml:space="preserve">Expected ARPU per sub in Euro </t>
  </si>
  <si>
    <t>3. Κόστος παροχής υπηρεσιών Βάσει του Υποδείγματος</t>
  </si>
  <si>
    <t>Κέρδος/Ζημιά για το έτος</t>
  </si>
  <si>
    <t>Συσσωρευμένο κέρδος/ζημιά</t>
  </si>
  <si>
    <t>1.1. Μέγιστος αριθμός συνδρομητών</t>
  </si>
  <si>
    <t>1.1.1. LLU Subscribers</t>
  </si>
  <si>
    <t>1.1.2. Μέγιστος Αριθμός συνδρομητών βάσει τους συνφορμητές LLU</t>
  </si>
  <si>
    <t>1.1.3. Νέοι Συνδρομητές</t>
  </si>
  <si>
    <t>1.1.4. Αποσυνδέσεις</t>
  </si>
  <si>
    <t>1.2. Αριθμός συνδρομητών βάσει των στοιχείων της Primetel</t>
  </si>
  <si>
    <t>1. Αριθμός Συνδρομητών (μικρότερο από 1.1. και 1.2.)</t>
  </si>
  <si>
    <t>2. ARPU (Average Revenue Per User) per month</t>
  </si>
  <si>
    <t>TOTAL YEAR 1</t>
  </si>
  <si>
    <t>TOTAL YEAR 2</t>
  </si>
  <si>
    <t>TOTAL YEAR 3</t>
  </si>
  <si>
    <t>Πακέτο Mobile Internet</t>
  </si>
  <si>
    <t>Mobile Internet 20MB</t>
  </si>
  <si>
    <t>Mobile Internet 200MB</t>
  </si>
  <si>
    <t>Mobile Internet 1GB</t>
  </si>
  <si>
    <t>Mobile Internet 2GB</t>
  </si>
  <si>
    <t>Mobile Internet 3GB</t>
  </si>
  <si>
    <t>Mobile Internet 5GB</t>
  </si>
  <si>
    <t>Mobile Internet 20GB</t>
  </si>
  <si>
    <t>Total</t>
  </si>
  <si>
    <t>2.6. SIM Cards</t>
  </si>
  <si>
    <t>2.7. Voucher Cards</t>
  </si>
  <si>
    <t>2.8. Analysis Mason Consultancy</t>
  </si>
  <si>
    <t>2.9. Numbering</t>
  </si>
  <si>
    <t>2.10. Licensing</t>
  </si>
  <si>
    <t>2.11. Legal Costs</t>
  </si>
  <si>
    <t xml:space="preserve">2.12. Marketing Launching </t>
  </si>
  <si>
    <t>2.13. Addition International  Connection</t>
  </si>
  <si>
    <t>2.14. Roaming Hubs</t>
  </si>
  <si>
    <t>YEAR 4</t>
  </si>
  <si>
    <t>TOTAL YEAR 4</t>
  </si>
  <si>
    <t>YEAR 5</t>
  </si>
  <si>
    <t>TOTAL YEAR 5</t>
  </si>
  <si>
    <t>YEAR 1</t>
  </si>
  <si>
    <t>OCECPR</t>
  </si>
  <si>
    <t>2.15. Depreciation</t>
  </si>
  <si>
    <t>Ετήσιες δαπάνες βάση Υποδείγματος</t>
  </si>
  <si>
    <t>Έσοδα σε Τρέχουσες Τιμές</t>
  </si>
  <si>
    <t>Συνολικό</t>
  </si>
  <si>
    <t>Ετήσιο</t>
  </si>
  <si>
    <t>Έξοδα σε Τρέχουσε Τιμές</t>
  </si>
  <si>
    <t>Κέρδος / ζημιά σε Τρέχουσες Τιμές</t>
  </si>
  <si>
    <t>Σημειώσεις</t>
  </si>
  <si>
    <t>Έσοδα</t>
  </si>
  <si>
    <t>Κόστος</t>
  </si>
  <si>
    <t>Κέρδος/Ζημιά</t>
  </si>
  <si>
    <t>Τροποποιημένα Τέλη Υποδείγματος</t>
  </si>
  <si>
    <t>ΑΤΗΚ</t>
  </si>
  <si>
    <t>ΓΕΡΗΕΤ</t>
  </si>
  <si>
    <t>% Διαφορά</t>
  </si>
  <si>
    <t>Κόστος βάσει Υποδείγματος ΑΤΗΚ</t>
  </si>
  <si>
    <t>Τροποποίηση Τελών από ΓΕΡΗΕΤ</t>
  </si>
  <si>
    <t>1.1. Capital Cost  (κόστος κεφαλαίου από δανεισμό)</t>
  </si>
  <si>
    <t>1.3. OTA Platform</t>
  </si>
  <si>
    <t>1.4. STP</t>
  </si>
  <si>
    <t>1.5. GGSN</t>
  </si>
  <si>
    <t>1.6. VAS</t>
  </si>
  <si>
    <t>1.7. Building works</t>
  </si>
  <si>
    <t xml:space="preserve">1.8. GTSM </t>
  </si>
  <si>
    <t xml:space="preserve">1.9. Mobile Billing / SAP </t>
  </si>
  <si>
    <t>1.11. Expansion of retail outlets 2 branches</t>
  </si>
  <si>
    <t>1. Συνδρομητές / Όγκος</t>
  </si>
  <si>
    <t>2. Διάφορες Χρεώσεις</t>
  </si>
  <si>
    <t>2. Χρεώσεις Κλήσεων</t>
  </si>
  <si>
    <t>3. Χρεώσεις SMS</t>
  </si>
  <si>
    <t>4. Χρεώσεις DATA</t>
  </si>
  <si>
    <t>3.1. Διάφορες Χρεώσεις</t>
  </si>
  <si>
    <t>3.2. Χρεώσεις Κλήσεων</t>
  </si>
  <si>
    <t>3.3. Χρεώσεις SMS</t>
  </si>
  <si>
    <t>3.4. Χρεώσεις DATA</t>
  </si>
  <si>
    <t>ΕΣ</t>
  </si>
  <si>
    <t>1. Τέλος ενεργοποίησης δικαιούχου</t>
  </si>
  <si>
    <t>2. Τέλη σύνδεσης σε κέντρο MSC της ΑΤΗΚ</t>
  </si>
  <si>
    <t>1. Υπηρεσία δρομολόγησης κλήσεων εντός του Κινητού  Δικτύου της ΑΤΗΚ</t>
  </si>
  <si>
    <t>2. Υπηρεσία έναρξης κλήσεων από το Κινητό  Δίκτυο της ΑΤΗΚ</t>
  </si>
  <si>
    <t>3. Υπηρεσία τερματισμού κλήσεων στο Κινητό Δίκτυο της ΑΤΗΚ</t>
  </si>
  <si>
    <t xml:space="preserve">4. Τερματισμός σε Τελικούς Χρήστες του Σταθερού Δικτύου της ΑΤΗΚ </t>
  </si>
  <si>
    <t>5. Τερματισμός σε υπηρεσίες πληροφοριών καταλόγου της ΑΤΗΚ 11892</t>
  </si>
  <si>
    <t>6. Τερματισμός σε Υπηρεσίες Έκτακτης Ανάγκης 112/199</t>
  </si>
  <si>
    <t>7. Τερματισμός σε Υπηρεσίες τριψήφιων και τετραψήφιων αριθμών (εκτός 1893, 1895)</t>
  </si>
  <si>
    <t>8. Τερματισμός σε Υπηρεσίες 1893, 1895</t>
  </si>
  <si>
    <t xml:space="preserve">9. Τερματισμός σε Υπηρεσίες Εθνικών και Διεθνών Ελευθέρων Κλήσεων </t>
  </si>
  <si>
    <t xml:space="preserve">10. Τερματισμός σε Υπηρεσίες Προσωπικού Αριθμού </t>
  </si>
  <si>
    <t xml:space="preserve">11. Τερματισμός σε Υπηρεσίες Υπερτιμημένων κλήσεων </t>
  </si>
  <si>
    <t xml:space="preserve">12. Τερματισμός σε Υπηρεσία Ένας Αριθμός </t>
  </si>
  <si>
    <t xml:space="preserve">14. Υπηρεσία δρομολόγησης κλήσεων που που διαβιβάζονται για τερματισμό σε Δίκτυα άλλων παροχέων σε εθνικό επίπεδο μέσω του Σταθερού Δικτύου της ΑΤΗΚ </t>
  </si>
  <si>
    <t>15. Υπηρεσία δρομολόγησης διεθνούς κίνησης μέσω του Σταθερού Δικτύου της ΑΤΗΚ</t>
  </si>
  <si>
    <t>16. Υπηρεσία διερεύνησης δρομολόγησης κλήσεων μέσω του Κινητού Δικτύου της ΑΤΗΚ</t>
  </si>
  <si>
    <t>17. Υπηρεσίες εθνικών βιντεο-κλήσεων</t>
  </si>
  <si>
    <t>18. Υπηρεσίες διεθνών βιντεο-κλήσεων</t>
  </si>
  <si>
    <t>3. Τερματισμό SMS από τους Τελικούς Χρήστες του Δικαιούχου σε άλλους παροχείς</t>
  </si>
  <si>
    <t xml:space="preserve">4. Τερματισμό SMS σε Τελικούς Χρήστες του Δικαιούχου (πλην αυτών από ΑΤΗΚ) </t>
  </si>
  <si>
    <t>1. Αποστολή SMS από τους Τελικούς Χρήστες του Δικαιούχου (mobile originated)</t>
  </si>
  <si>
    <t>2. Tερματισμός SMS από τους Τελικούς Χρήστες του Δικαιούχου σε ΑΤΗΚ</t>
  </si>
  <si>
    <t>3. Τέλη υπηρεσιών συνεγκατάστασης</t>
  </si>
  <si>
    <t>1. Τέλη υπηρεσιών μηνυμάτων πολυμεσών (MMS)και τέλη υπηρεσιών GPRS</t>
  </si>
  <si>
    <t>Ε.Σ.</t>
  </si>
  <si>
    <t xml:space="preserve">13. Υπηρεσία δρομολόγησης κλήσεων που τερματίζονται σε Δίκτυα άλλων παροχέων συνδεδεμένα με Κιν. ΑΤΗΚ </t>
  </si>
  <si>
    <t>3. Χρεώσεις Κλήσεων</t>
  </si>
  <si>
    <t>4. Χρεώσεις SMS</t>
  </si>
  <si>
    <t>5. Χρεώσεις DATA</t>
  </si>
  <si>
    <t>1. Αποτελέσματα Μοντέλου Συμπίεσης Περιθωρίου -  Περίπτωση ΜVNO Τύπου Β</t>
  </si>
  <si>
    <t>2. ΣΥΝΟΛΙΚΑ ΕΣΟΔΑ</t>
  </si>
  <si>
    <t>3. ΣΥΝΟΛΙΚΟ ΚΟΣΤΟΣ</t>
  </si>
  <si>
    <t>4. ΚΟΣΤΟΣ ΥΠΟΔΕΙΓΜΑΤΟΣ</t>
  </si>
  <si>
    <t>5. TRAFFIC RELATED DATA</t>
  </si>
  <si>
    <t>Συμπληρ. Στοιχεία</t>
  </si>
  <si>
    <t>% Διάφ.</t>
  </si>
  <si>
    <t>5. Τέλη Πρόσβασης Ethernet</t>
  </si>
  <si>
    <t>΄Ογκος Κίνησης από Κινητό προς íδιο Τηλεφωνικό Δίκτυο</t>
  </si>
  <si>
    <t xml:space="preserve">Εξερχόμενος Ογκος Κίνησης από Κινητό προς Διεθν. Προορισμούς </t>
  </si>
  <si>
    <t>Εισερχόμενος ΄Ογκος Κίνησης από Διεθνείς Προορισμούς</t>
  </si>
  <si>
    <t>΄Ογκος Κίνησης από Κινητό προς Διαδίκτυο</t>
  </si>
  <si>
    <t>Year 2010</t>
  </si>
  <si>
    <t>6. TRAFFIC PROFILE</t>
  </si>
  <si>
    <t>Minutes</t>
  </si>
  <si>
    <t>%</t>
  </si>
  <si>
    <t>΄Ογκος Κίνησης από Κινητό προς άλλα Σταθερά Δίκτυα</t>
  </si>
  <si>
    <t>Εισερχόμενος ΄Ογκος Κίνησης από άλλα Εθνικά Κινητά Δίκτυα</t>
  </si>
  <si>
    <t>΄Ογκος Κίνησης από σταθερό προς Κινητό</t>
  </si>
  <si>
    <t>Συνολική Εξερχόμενη Κίνηση</t>
  </si>
  <si>
    <t>΄Ογκος Κίνησης προς 11892</t>
  </si>
  <si>
    <t>΄Ογκος Κίνησης F2F</t>
  </si>
  <si>
    <t>Συνολική Κίνηση</t>
  </si>
  <si>
    <t>΄Ογκος Κίνησης προς 11892 από Σταθερό</t>
  </si>
  <si>
    <t>΄Ογκος Κίνησης προς 11892 από κινητό</t>
  </si>
  <si>
    <t>΄Ογκος Κίνησης προς 112</t>
  </si>
  <si>
    <t>΄Ογκος Κίνησης προς 112 από Σταθερό</t>
  </si>
  <si>
    <t>΄Ογκος Κίνησης προς 112 από κινητό</t>
  </si>
  <si>
    <t>SMS ATHK</t>
  </si>
  <si>
    <t>SMS MTN</t>
  </si>
  <si>
    <t xml:space="preserve">Tonal number of MB </t>
  </si>
  <si>
    <t>7. GPRS</t>
  </si>
  <si>
    <t>Μέγιστη Χρήση Ανά πακέτο</t>
  </si>
  <si>
    <t>Λιανικά Τέλη</t>
  </si>
  <si>
    <t>2011 (Λιανικό)</t>
  </si>
  <si>
    <t>Συνολικά Έσοδα</t>
  </si>
  <si>
    <t>Λιανικός Τέλος ανά MB</t>
  </si>
  <si>
    <t>Μεσοσταθμ. Αρ. Συνδέσεων (2011)</t>
  </si>
  <si>
    <t>1. Διάφορες Χρεώσεις</t>
  </si>
  <si>
    <t>Συνολικό Κόστος OLO</t>
  </si>
  <si>
    <t>Συνολικό Κόστος ΓΕΡΗΕΤ</t>
  </si>
  <si>
    <t>% useage of the Primetel Platform</t>
  </si>
  <si>
    <t>Total Market Jun 2011</t>
  </si>
  <si>
    <t>Max No of OLO Subscr. For the next 10 years 75% of MTN market Share</t>
  </si>
  <si>
    <t>Avg number of  Outgoing Min per sub/month</t>
  </si>
  <si>
    <t>OLO</t>
  </si>
  <si>
    <t xml:space="preserve">  OLO</t>
  </si>
  <si>
    <t>`</t>
  </si>
  <si>
    <t>Max No of Subscr.  (OLO Platform)</t>
  </si>
  <si>
    <t>4. Άλλες υπηρεσίες</t>
  </si>
  <si>
    <t>΄Ογκος Κίνησης από Κινητό προς άλλο κινητό Δίκτυο</t>
  </si>
  <si>
    <t>1.2. Platform (IN , HLR , CRM etc )</t>
  </si>
  <si>
    <t>1.10. Charges from Cyta 30k+BG Overseas Operator - G&amp;D for sims dev. Cost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</si>
</sst>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[$€-2]\ * #,##0_-;\-[$€-2]\ * #,##0_-;_-[$€-2]\ * &quot;-&quot;_-;_-@_-"/>
    <numFmt numFmtId="174" formatCode="0.0%"/>
    <numFmt numFmtId="175" formatCode="[$-408]General"/>
    <numFmt numFmtId="176" formatCode="_-* #,##0\ _€_-;\-* #,##0\ _€_-;_-* &quot;-&quot;??\ _€_-;_-@_-"/>
    <numFmt numFmtId="177" formatCode="[$€-2]\ #,##0.00"/>
    <numFmt numFmtId="178" formatCode="[$€-2]\ #,##0.0000"/>
    <numFmt numFmtId="179" formatCode="[$€-2]\ #,##0.00;\-[$€-2]\ #,##0.00"/>
    <numFmt numFmtId="180" formatCode="[$€-2]\ #,##0;\-[$€-2]\ #,##0"/>
    <numFmt numFmtId="181" formatCode="&quot;€&quot;#,##0;\-&quot;€&quot;#,##0"/>
    <numFmt numFmtId="182" formatCode="#,##0.00000"/>
    <numFmt numFmtId="183" formatCode="[$€-2]\ #,##0.00000;\-[$€-2]\ #,##0.00000"/>
    <numFmt numFmtId="184" formatCode="[$€-2]\ #,##0.000000;\-[$€-2]\ #,##0.000000"/>
    <numFmt numFmtId="185" formatCode="#,##0.0"/>
    <numFmt numFmtId="186" formatCode="#,##0\ "/>
    <numFmt numFmtId="187" formatCode="[$€-2]\ #,##0"/>
    <numFmt numFmtId="188" formatCode="[$€-2]\ #,##0.000000"/>
    <numFmt numFmtId="189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31" fillId="0" borderId="0">
      <alignment/>
      <protection/>
    </xf>
    <xf numFmtId="181" fontId="31" fillId="0" borderId="0">
      <alignment/>
      <protection/>
    </xf>
    <xf numFmtId="181" fontId="31" fillId="0" borderId="0">
      <alignment/>
      <protection/>
    </xf>
    <xf numFmtId="181" fontId="31" fillId="0" borderId="0">
      <alignment/>
      <protection/>
    </xf>
    <xf numFmtId="181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4" fontId="2" fillId="0" borderId="0" xfId="42" applyNumberFormat="1" applyFont="1" applyFill="1" applyAlignment="1">
      <alignment horizontal="left" wrapText="1"/>
    </xf>
    <xf numFmtId="4" fontId="3" fillId="0" borderId="0" xfId="42" applyNumberFormat="1" applyFont="1" applyFill="1" applyAlignment="1">
      <alignment horizontal="left" wrapText="1"/>
    </xf>
    <xf numFmtId="4" fontId="3" fillId="0" borderId="10" xfId="42" applyNumberFormat="1" applyFont="1" applyFill="1" applyBorder="1" applyAlignment="1">
      <alignment horizontal="center"/>
    </xf>
    <xf numFmtId="3" fontId="3" fillId="0" borderId="10" xfId="42" applyNumberFormat="1" applyFont="1" applyFill="1" applyBorder="1" applyAlignment="1">
      <alignment/>
    </xf>
    <xf numFmtId="3" fontId="3" fillId="0" borderId="10" xfId="42" applyNumberFormat="1" applyFont="1" applyFill="1" applyBorder="1" applyAlignment="1">
      <alignment horizontal="right"/>
    </xf>
    <xf numFmtId="4" fontId="3" fillId="0" borderId="0" xfId="42" applyNumberFormat="1" applyFont="1" applyFill="1" applyAlignment="1">
      <alignment horizontal="center"/>
    </xf>
    <xf numFmtId="3" fontId="3" fillId="0" borderId="0" xfId="42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34" borderId="10" xfId="0" applyFont="1" applyFill="1" applyBorder="1" applyAlignment="1">
      <alignment/>
    </xf>
    <xf numFmtId="173" fontId="0" fillId="0" borderId="0" xfId="0" applyNumberFormat="1" applyAlignment="1">
      <alignment/>
    </xf>
    <xf numFmtId="0" fontId="42" fillId="34" borderId="11" xfId="0" applyFont="1" applyFill="1" applyBorder="1" applyAlignment="1">
      <alignment/>
    </xf>
    <xf numFmtId="173" fontId="42" fillId="34" borderId="12" xfId="0" applyNumberFormat="1" applyFont="1" applyFill="1" applyBorder="1" applyAlignment="1">
      <alignment/>
    </xf>
    <xf numFmtId="0" fontId="0" fillId="0" borderId="0" xfId="0" applyNumberFormat="1" applyAlignment="1">
      <alignment horizontal="center" vertical="center"/>
    </xf>
    <xf numFmtId="0" fontId="42" fillId="35" borderId="11" xfId="0" applyFont="1" applyFill="1" applyBorder="1" applyAlignment="1">
      <alignment/>
    </xf>
    <xf numFmtId="174" fontId="42" fillId="35" borderId="12" xfId="62" applyNumberFormat="1" applyFont="1" applyFill="1" applyBorder="1" applyAlignment="1">
      <alignment/>
    </xf>
    <xf numFmtId="0" fontId="42" fillId="36" borderId="11" xfId="0" applyFont="1" applyFill="1" applyBorder="1" applyAlignment="1">
      <alignment/>
    </xf>
    <xf numFmtId="173" fontId="42" fillId="36" borderId="12" xfId="0" applyNumberFormat="1" applyFont="1" applyFill="1" applyBorder="1" applyAlignment="1">
      <alignment/>
    </xf>
    <xf numFmtId="0" fontId="42" fillId="37" borderId="11" xfId="0" applyFont="1" applyFill="1" applyBorder="1" applyAlignment="1">
      <alignment/>
    </xf>
    <xf numFmtId="175" fontId="31" fillId="0" borderId="10" xfId="46" applyNumberFormat="1" applyFont="1" applyFill="1" applyBorder="1" applyAlignment="1" applyProtection="1">
      <alignment/>
      <protection/>
    </xf>
    <xf numFmtId="173" fontId="42" fillId="37" borderId="13" xfId="0" applyNumberFormat="1" applyFont="1" applyFill="1" applyBorder="1" applyAlignment="1">
      <alignment/>
    </xf>
    <xf numFmtId="173" fontId="42" fillId="37" borderId="14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33" borderId="10" xfId="0" applyFont="1" applyFill="1" applyBorder="1" applyAlignment="1">
      <alignment/>
    </xf>
    <xf numFmtId="0" fontId="44" fillId="0" borderId="0" xfId="0" applyFont="1" applyAlignment="1">
      <alignment/>
    </xf>
    <xf numFmtId="4" fontId="2" fillId="33" borderId="10" xfId="0" applyNumberFormat="1" applyFont="1" applyFill="1" applyBorder="1" applyAlignment="1">
      <alignment vertical="center"/>
    </xf>
    <xf numFmtId="4" fontId="2" fillId="33" borderId="10" xfId="42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1" fontId="2" fillId="0" borderId="10" xfId="42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4" fontId="3" fillId="0" borderId="10" xfId="42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42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42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5" fillId="35" borderId="11" xfId="0" applyFont="1" applyFill="1" applyBorder="1" applyAlignment="1">
      <alignment/>
    </xf>
    <xf numFmtId="9" fontId="45" fillId="35" borderId="12" xfId="62" applyFont="1" applyFill="1" applyBorder="1" applyAlignment="1">
      <alignment/>
    </xf>
    <xf numFmtId="0" fontId="45" fillId="0" borderId="11" xfId="0" applyFont="1" applyFill="1" applyBorder="1" applyAlignment="1">
      <alignment/>
    </xf>
    <xf numFmtId="9" fontId="45" fillId="0" borderId="15" xfId="62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4" fontId="3" fillId="0" borderId="0" xfId="42" applyNumberFormat="1" applyFont="1" applyFill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42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172" fontId="3" fillId="33" borderId="10" xfId="42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wrapText="1"/>
    </xf>
    <xf numFmtId="3" fontId="3" fillId="33" borderId="10" xfId="42" applyNumberFormat="1" applyFont="1" applyFill="1" applyBorder="1" applyAlignment="1">
      <alignment horizontal="right" vertical="center"/>
    </xf>
    <xf numFmtId="176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right" vertical="center"/>
    </xf>
    <xf numFmtId="3" fontId="0" fillId="34" borderId="10" xfId="42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42" applyNumberFormat="1" applyFont="1" applyAlignment="1">
      <alignment horizontal="right" vertical="center"/>
    </xf>
    <xf numFmtId="3" fontId="0" fillId="39" borderId="10" xfId="0" applyNumberFormat="1" applyFill="1" applyBorder="1" applyAlignment="1">
      <alignment horizontal="right" vertical="center"/>
    </xf>
    <xf numFmtId="3" fontId="0" fillId="39" borderId="15" xfId="0" applyNumberFormat="1" applyFill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0" xfId="42" applyNumberFormat="1" applyFont="1" applyBorder="1" applyAlignment="1">
      <alignment horizontal="right" vertical="center"/>
    </xf>
    <xf numFmtId="3" fontId="0" fillId="34" borderId="10" xfId="42" applyNumberFormat="1" applyFont="1" applyFill="1" applyBorder="1" applyAlignment="1">
      <alignment horizontal="right" vertical="center"/>
    </xf>
    <xf numFmtId="3" fontId="0" fillId="39" borderId="10" xfId="0" applyNumberFormat="1" applyFill="1" applyBorder="1" applyAlignment="1">
      <alignment/>
    </xf>
    <xf numFmtId="3" fontId="0" fillId="34" borderId="10" xfId="42" applyNumberFormat="1" applyFont="1" applyFill="1" applyBorder="1" applyAlignment="1">
      <alignment/>
    </xf>
    <xf numFmtId="3" fontId="0" fillId="38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42" fillId="40" borderId="10" xfId="0" applyNumberFormat="1" applyFont="1" applyFill="1" applyBorder="1" applyAlignment="1">
      <alignment/>
    </xf>
    <xf numFmtId="3" fontId="42" fillId="40" borderId="10" xfId="42" applyNumberFormat="1" applyFont="1" applyFill="1" applyBorder="1" applyAlignment="1">
      <alignment/>
    </xf>
    <xf numFmtId="3" fontId="0" fillId="0" borderId="0" xfId="42" applyNumberFormat="1" applyFont="1" applyAlignment="1">
      <alignment/>
    </xf>
    <xf numFmtId="0" fontId="42" fillId="39" borderId="10" xfId="0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vertical="center" wrapText="1"/>
    </xf>
    <xf numFmtId="172" fontId="3" fillId="33" borderId="10" xfId="42" applyNumberFormat="1" applyFont="1" applyFill="1" applyBorder="1" applyAlignment="1">
      <alignment vertical="center"/>
    </xf>
    <xf numFmtId="173" fontId="0" fillId="38" borderId="0" xfId="0" applyNumberFormat="1" applyFill="1" applyAlignment="1">
      <alignment/>
    </xf>
    <xf numFmtId="0" fontId="0" fillId="38" borderId="0" xfId="0" applyNumberFormat="1" applyFill="1" applyAlignment="1">
      <alignment horizontal="center" vertical="center"/>
    </xf>
    <xf numFmtId="172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horizontal="center" vertical="center"/>
    </xf>
    <xf numFmtId="173" fontId="42" fillId="34" borderId="10" xfId="0" applyNumberFormat="1" applyFont="1" applyFill="1" applyBorder="1" applyAlignment="1">
      <alignment horizontal="right"/>
    </xf>
    <xf numFmtId="0" fontId="0" fillId="0" borderId="10" xfId="0" applyNumberFormat="1" applyBorder="1" applyAlignment="1">
      <alignment horizontal="center" vertical="center"/>
    </xf>
    <xf numFmtId="176" fontId="0" fillId="0" borderId="10" xfId="42" applyNumberFormat="1" applyFont="1" applyBorder="1" applyAlignment="1">
      <alignment horizontal="center"/>
    </xf>
    <xf numFmtId="4" fontId="2" fillId="0" borderId="10" xfId="42" applyNumberFormat="1" applyFont="1" applyFill="1" applyBorder="1" applyAlignment="1">
      <alignment horizontal="center" wrapText="1"/>
    </xf>
    <xf numFmtId="4" fontId="2" fillId="0" borderId="10" xfId="42" applyNumberFormat="1" applyFont="1" applyFill="1" applyBorder="1" applyAlignment="1">
      <alignment horizontal="left" vertical="center" wrapText="1"/>
    </xf>
    <xf numFmtId="4" fontId="3" fillId="0" borderId="10" xfId="42" applyNumberFormat="1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vertical="center"/>
    </xf>
    <xf numFmtId="0" fontId="45" fillId="34" borderId="11" xfId="0" applyFont="1" applyFill="1" applyBorder="1" applyAlignment="1">
      <alignment/>
    </xf>
    <xf numFmtId="4" fontId="45" fillId="34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center"/>
    </xf>
    <xf numFmtId="4" fontId="46" fillId="41" borderId="10" xfId="0" applyNumberFormat="1" applyFont="1" applyFill="1" applyBorder="1" applyAlignment="1">
      <alignment vertical="center"/>
    </xf>
    <xf numFmtId="0" fontId="45" fillId="35" borderId="10" xfId="0" applyFont="1" applyFill="1" applyBorder="1" applyAlignment="1">
      <alignment/>
    </xf>
    <xf numFmtId="173" fontId="45" fillId="35" borderId="10" xfId="0" applyNumberFormat="1" applyFont="1" applyFill="1" applyBorder="1" applyAlignment="1">
      <alignment horizontal="center" vertical="center"/>
    </xf>
    <xf numFmtId="177" fontId="42" fillId="0" borderId="12" xfId="0" applyNumberFormat="1" applyFont="1" applyFill="1" applyBorder="1" applyAlignment="1">
      <alignment/>
    </xf>
    <xf numFmtId="177" fontId="30" fillId="41" borderId="12" xfId="0" applyNumberFormat="1" applyFont="1" applyFill="1" applyBorder="1" applyAlignment="1">
      <alignment/>
    </xf>
    <xf numFmtId="0" fontId="2" fillId="40" borderId="10" xfId="0" applyFont="1" applyFill="1" applyBorder="1" applyAlignment="1">
      <alignment horizontal="center" wrapText="1"/>
    </xf>
    <xf numFmtId="1" fontId="2" fillId="40" borderId="10" xfId="42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173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173" fontId="45" fillId="0" borderId="10" xfId="0" applyNumberFormat="1" applyFont="1" applyFill="1" applyBorder="1" applyAlignment="1">
      <alignment/>
    </xf>
    <xf numFmtId="173" fontId="42" fillId="34" borderId="10" xfId="0" applyNumberFormat="1" applyFont="1" applyFill="1" applyBorder="1" applyAlignment="1">
      <alignment/>
    </xf>
    <xf numFmtId="0" fontId="42" fillId="34" borderId="10" xfId="0" applyNumberFormat="1" applyFont="1" applyFill="1" applyBorder="1" applyAlignment="1">
      <alignment horizontal="center" vertical="center"/>
    </xf>
    <xf numFmtId="173" fontId="42" fillId="0" borderId="10" xfId="0" applyNumberFormat="1" applyFont="1" applyFill="1" applyBorder="1" applyAlignment="1">
      <alignment/>
    </xf>
    <xf numFmtId="0" fontId="42" fillId="0" borderId="10" xfId="0" applyNumberFormat="1" applyFont="1" applyFill="1" applyBorder="1" applyAlignment="1">
      <alignment horizontal="center" vertical="center"/>
    </xf>
    <xf numFmtId="173" fontId="42" fillId="33" borderId="10" xfId="0" applyNumberFormat="1" applyFont="1" applyFill="1" applyBorder="1" applyAlignment="1">
      <alignment/>
    </xf>
    <xf numFmtId="0" fontId="42" fillId="33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 horizontal="center" vertical="center"/>
    </xf>
    <xf numFmtId="173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0" fillId="38" borderId="10" xfId="0" applyNumberFormat="1" applyFill="1" applyBorder="1" applyAlignment="1">
      <alignment horizontal="center" vertical="center"/>
    </xf>
    <xf numFmtId="0" fontId="47" fillId="34" borderId="10" xfId="0" applyNumberFormat="1" applyFont="1" applyFill="1" applyBorder="1" applyAlignment="1">
      <alignment horizontal="center" vertical="center"/>
    </xf>
    <xf numFmtId="9" fontId="0" fillId="0" borderId="10" xfId="62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42" fillId="34" borderId="10" xfId="0" applyNumberFormat="1" applyFont="1" applyFill="1" applyBorder="1" applyAlignment="1">
      <alignment horizontal="right"/>
    </xf>
    <xf numFmtId="180" fontId="42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183" fontId="0" fillId="0" borderId="10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 vertical="center" wrapText="1"/>
    </xf>
    <xf numFmtId="180" fontId="0" fillId="0" borderId="10" xfId="0" applyNumberFormat="1" applyBorder="1" applyAlignment="1">
      <alignment horizontal="right" vertical="center"/>
    </xf>
    <xf numFmtId="180" fontId="42" fillId="34" borderId="10" xfId="0" applyNumberFormat="1" applyFont="1" applyFill="1" applyBorder="1" applyAlignment="1">
      <alignment horizontal="right"/>
    </xf>
    <xf numFmtId="179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9" fontId="0" fillId="0" borderId="10" xfId="62" applyFont="1" applyBorder="1" applyAlignment="1">
      <alignment horizontal="right" vertical="center"/>
    </xf>
    <xf numFmtId="0" fontId="0" fillId="34" borderId="10" xfId="0" applyFont="1" applyFill="1" applyBorder="1" applyAlignment="1">
      <alignment horizontal="right"/>
    </xf>
    <xf numFmtId="173" fontId="0" fillId="0" borderId="10" xfId="0" applyNumberFormat="1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/>
    </xf>
    <xf numFmtId="184" fontId="0" fillId="0" borderId="10" xfId="0" applyNumberFormat="1" applyBorder="1" applyAlignment="1">
      <alignment horizontal="right" vertical="center"/>
    </xf>
    <xf numFmtId="3" fontId="0" fillId="39" borderId="10" xfId="0" applyNumberFormat="1" applyFont="1" applyFill="1" applyBorder="1" applyAlignment="1">
      <alignment/>
    </xf>
    <xf numFmtId="3" fontId="0" fillId="39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/>
    </xf>
    <xf numFmtId="3" fontId="0" fillId="0" borderId="10" xfId="0" applyNumberFormat="1" applyFont="1" applyFill="1" applyBorder="1" applyAlignment="1">
      <alignment vertical="center"/>
    </xf>
    <xf numFmtId="186" fontId="10" fillId="0" borderId="10" xfId="0" applyNumberFormat="1" applyFont="1" applyBorder="1" applyAlignment="1">
      <alignment horizontal="right" vertical="center"/>
    </xf>
    <xf numFmtId="186" fontId="10" fillId="0" borderId="10" xfId="0" applyNumberFormat="1" applyFont="1" applyBorder="1" applyAlignment="1" applyProtection="1">
      <alignment horizontal="right" vertical="center"/>
      <protection locked="0"/>
    </xf>
    <xf numFmtId="0" fontId="10" fillId="0" borderId="10" xfId="0" applyNumberFormat="1" applyFont="1" applyBorder="1" applyAlignment="1" applyProtection="1">
      <alignment horizontal="left" vertical="center"/>
      <protection locked="0"/>
    </xf>
    <xf numFmtId="0" fontId="11" fillId="37" borderId="10" xfId="0" applyNumberFormat="1" applyFont="1" applyFill="1" applyBorder="1" applyAlignment="1" applyProtection="1">
      <alignment horizontal="left" vertical="center"/>
      <protection locked="0"/>
    </xf>
    <xf numFmtId="186" fontId="11" fillId="37" borderId="10" xfId="0" applyNumberFormat="1" applyFont="1" applyFill="1" applyBorder="1" applyAlignment="1" applyProtection="1">
      <alignment horizontal="right" vertical="center"/>
      <protection locked="0"/>
    </xf>
    <xf numFmtId="10" fontId="0" fillId="38" borderId="10" xfId="62" applyNumberFormat="1" applyFont="1" applyFill="1" applyBorder="1" applyAlignment="1">
      <alignment horizontal="right" vertical="center"/>
    </xf>
    <xf numFmtId="10" fontId="42" fillId="37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10" fontId="0" fillId="0" borderId="10" xfId="62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187" fontId="42" fillId="0" borderId="12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11" fillId="13" borderId="10" xfId="0" applyNumberFormat="1" applyFont="1" applyFill="1" applyBorder="1" applyAlignment="1">
      <alignment horizontal="center" vertical="center"/>
    </xf>
    <xf numFmtId="3" fontId="11" fillId="13" borderId="10" xfId="0" applyNumberFormat="1" applyFont="1" applyFill="1" applyBorder="1" applyAlignment="1">
      <alignment horizontal="right" vertical="center"/>
    </xf>
    <xf numFmtId="3" fontId="42" fillId="13" borderId="10" xfId="0" applyNumberFormat="1" applyFont="1" applyFill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2" fontId="10" fillId="0" borderId="10" xfId="0" applyNumberFormat="1" applyFont="1" applyFill="1" applyBorder="1" applyAlignment="1">
      <alignment horizontal="right" vertical="center"/>
    </xf>
    <xf numFmtId="182" fontId="11" fillId="13" borderId="10" xfId="0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>
      <alignment/>
    </xf>
    <xf numFmtId="9" fontId="0" fillId="0" borderId="10" xfId="62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/>
    </xf>
    <xf numFmtId="187" fontId="0" fillId="0" borderId="10" xfId="0" applyNumberFormat="1" applyBorder="1" applyAlignment="1">
      <alignment/>
    </xf>
    <xf numFmtId="187" fontId="0" fillId="38" borderId="0" xfId="0" applyNumberFormat="1" applyFill="1" applyAlignment="1">
      <alignment/>
    </xf>
    <xf numFmtId="187" fontId="42" fillId="34" borderId="10" xfId="0" applyNumberFormat="1" applyFont="1" applyFill="1" applyBorder="1" applyAlignment="1">
      <alignment/>
    </xf>
    <xf numFmtId="187" fontId="42" fillId="33" borderId="10" xfId="0" applyNumberFormat="1" applyFont="1" applyFill="1" applyBorder="1" applyAlignment="1">
      <alignment/>
    </xf>
    <xf numFmtId="187" fontId="0" fillId="0" borderId="10" xfId="0" applyNumberFormat="1" applyFont="1" applyFill="1" applyBorder="1" applyAlignment="1">
      <alignment vertical="center"/>
    </xf>
    <xf numFmtId="187" fontId="42" fillId="0" borderId="10" xfId="0" applyNumberFormat="1" applyFon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42" fillId="34" borderId="12" xfId="0" applyNumberFormat="1" applyFont="1" applyFill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87" fontId="0" fillId="0" borderId="10" xfId="0" applyNumberFormat="1" applyFont="1" applyBorder="1" applyAlignment="1">
      <alignment/>
    </xf>
    <xf numFmtId="10" fontId="0" fillId="0" borderId="10" xfId="0" applyNumberFormat="1" applyFill="1" applyBorder="1" applyAlignment="1">
      <alignment horizontal="center" vertical="center"/>
    </xf>
    <xf numFmtId="9" fontId="0" fillId="0" borderId="10" xfId="62" applyFont="1" applyBorder="1" applyAlignment="1">
      <alignment/>
    </xf>
    <xf numFmtId="188" fontId="0" fillId="0" borderId="10" xfId="0" applyNumberFormat="1" applyFont="1" applyFill="1" applyBorder="1" applyAlignment="1">
      <alignment/>
    </xf>
    <xf numFmtId="189" fontId="0" fillId="0" borderId="10" xfId="42" applyNumberFormat="1" applyFont="1" applyBorder="1" applyAlignment="1">
      <alignment/>
    </xf>
    <xf numFmtId="10" fontId="0" fillId="0" borderId="10" xfId="62" applyNumberFormat="1" applyFont="1" applyBorder="1" applyAlignment="1">
      <alignment/>
    </xf>
    <xf numFmtId="189" fontId="0" fillId="0" borderId="10" xfId="42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9" fontId="0" fillId="0" borderId="0" xfId="62" applyFont="1" applyAlignment="1">
      <alignment/>
    </xf>
    <xf numFmtId="0" fontId="42" fillId="39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10" fontId="0" fillId="0" borderId="10" xfId="62" applyNumberFormat="1" applyFont="1" applyFill="1" applyBorder="1" applyAlignment="1">
      <alignment horizontal="right" vertical="center"/>
    </xf>
    <xf numFmtId="180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174" fontId="44" fillId="0" borderId="0" xfId="62" applyNumberFormat="1" applyFont="1" applyAlignment="1">
      <alignment/>
    </xf>
    <xf numFmtId="0" fontId="46" fillId="41" borderId="0" xfId="0" applyFont="1" applyFill="1" applyAlignment="1">
      <alignment horizontal="center"/>
    </xf>
    <xf numFmtId="173" fontId="45" fillId="35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 horizontal="left" vertical="center"/>
    </xf>
    <xf numFmtId="4" fontId="3" fillId="0" borderId="10" xfId="42" applyNumberFormat="1" applyFont="1" applyFill="1" applyBorder="1" applyAlignment="1">
      <alignment horizontal="left" vertical="center" wrapText="1"/>
    </xf>
    <xf numFmtId="0" fontId="48" fillId="41" borderId="0" xfId="0" applyFont="1" applyFill="1" applyBorder="1" applyAlignment="1">
      <alignment horizontal="center" wrapText="1"/>
    </xf>
    <xf numFmtId="0" fontId="48" fillId="41" borderId="10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73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33" borderId="18" xfId="0" applyNumberFormat="1" applyFont="1" applyFill="1" applyBorder="1" applyAlignment="1">
      <alignment horizontal="center" vertical="center" wrapText="1"/>
    </xf>
    <xf numFmtId="0" fontId="42" fillId="33" borderId="19" xfId="0" applyNumberFormat="1" applyFont="1" applyFill="1" applyBorder="1" applyAlignment="1">
      <alignment horizontal="center" vertical="center" wrapText="1"/>
    </xf>
    <xf numFmtId="173" fontId="48" fillId="41" borderId="20" xfId="0" applyNumberFormat="1" applyFont="1" applyFill="1" applyBorder="1" applyAlignment="1">
      <alignment horizontal="center"/>
    </xf>
    <xf numFmtId="0" fontId="42" fillId="33" borderId="10" xfId="0" applyNumberFormat="1" applyFont="1" applyFill="1" applyBorder="1" applyAlignment="1">
      <alignment horizontal="center" vertical="center" wrapText="1"/>
    </xf>
    <xf numFmtId="3" fontId="0" fillId="39" borderId="15" xfId="0" applyNumberFormat="1" applyFill="1" applyBorder="1" applyAlignment="1">
      <alignment horizontal="center" vertical="center"/>
    </xf>
    <xf numFmtId="3" fontId="0" fillId="39" borderId="11" xfId="0" applyNumberFormat="1" applyFill="1" applyBorder="1" applyAlignment="1">
      <alignment horizontal="center" vertical="center"/>
    </xf>
    <xf numFmtId="3" fontId="0" fillId="39" borderId="17" xfId="0" applyNumberFormat="1" applyFill="1" applyBorder="1" applyAlignment="1">
      <alignment horizontal="center" vertical="center"/>
    </xf>
    <xf numFmtId="0" fontId="48" fillId="41" borderId="0" xfId="0" applyFont="1" applyFill="1" applyAlignment="1">
      <alignment horizontal="center" vertical="center"/>
    </xf>
    <xf numFmtId="3" fontId="0" fillId="39" borderId="15" xfId="0" applyNumberFormat="1" applyFill="1" applyBorder="1" applyAlignment="1">
      <alignment horizontal="center"/>
    </xf>
    <xf numFmtId="3" fontId="0" fillId="39" borderId="11" xfId="0" applyNumberFormat="1" applyFill="1" applyBorder="1" applyAlignment="1">
      <alignment horizontal="center"/>
    </xf>
    <xf numFmtId="3" fontId="0" fillId="39" borderId="17" xfId="0" applyNumberFormat="1" applyFill="1" applyBorder="1" applyAlignment="1">
      <alignment horizontal="center"/>
    </xf>
    <xf numFmtId="0" fontId="48" fillId="41" borderId="0" xfId="0" applyFont="1" applyFill="1" applyAlignment="1">
      <alignment horizontal="center"/>
    </xf>
    <xf numFmtId="3" fontId="0" fillId="39" borderId="15" xfId="0" applyNumberFormat="1" applyFont="1" applyFill="1" applyBorder="1" applyAlignment="1">
      <alignment horizontal="center" vertical="center"/>
    </xf>
    <xf numFmtId="3" fontId="0" fillId="39" borderId="11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175" fontId="31" fillId="0" borderId="10" xfId="46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2" xfId="47"/>
    <cellStyle name="Excel Built-in Normal 3" xfId="48"/>
    <cellStyle name="Excel Built-in Normal 4" xfId="49"/>
    <cellStyle name="Excel Built-in Normal 5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9525" cy="0"/>
    <xdr:sp>
      <xdr:nvSpPr>
        <xdr:cNvPr id="1" name="AutoShape 19" descr="http://www.cytamobile-vodafone.com/cminfo/cmconnect/cmpaymonthly/pricing_GR_clip_image001_0016.gif"/>
        <xdr:cNvSpPr>
          <a:spLocks noChangeAspect="1"/>
        </xdr:cNvSpPr>
      </xdr:nvSpPr>
      <xdr:spPr>
        <a:xfrm>
          <a:off x="4486275" y="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" cy="0"/>
    <xdr:sp>
      <xdr:nvSpPr>
        <xdr:cNvPr id="2" name="AutoShape 19" descr="http://www.cytamobile-vodafone.com/cminfo/cmconnect/cmpaymonthly/pricing_GR_clip_image001_0016.gif"/>
        <xdr:cNvSpPr>
          <a:spLocks noChangeAspect="1"/>
        </xdr:cNvSpPr>
      </xdr:nvSpPr>
      <xdr:spPr>
        <a:xfrm>
          <a:off x="5514975" y="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525" cy="0"/>
    <xdr:sp>
      <xdr:nvSpPr>
        <xdr:cNvPr id="3" name="AutoShape 19" descr="http://www.cytamobile-vodafone.com/cminfo/cmconnect/cmpaymonthly/pricing_GR_clip_image001_0016.gif"/>
        <xdr:cNvSpPr>
          <a:spLocks noChangeAspect="1"/>
        </xdr:cNvSpPr>
      </xdr:nvSpPr>
      <xdr:spPr>
        <a:xfrm>
          <a:off x="6600825" y="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9525" cy="0"/>
    <xdr:sp>
      <xdr:nvSpPr>
        <xdr:cNvPr id="4" name="AutoShape 19" descr="http://www.cytamobile-vodafone.com/cminfo/cmconnect/cmpaymonthly/pricing_GR_clip_image001_0016.gif"/>
        <xdr:cNvSpPr>
          <a:spLocks noChangeAspect="1"/>
        </xdr:cNvSpPr>
      </xdr:nvSpPr>
      <xdr:spPr>
        <a:xfrm>
          <a:off x="7648575" y="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525" cy="0"/>
    <xdr:sp>
      <xdr:nvSpPr>
        <xdr:cNvPr id="5" name="AutoShape 19" descr="http://www.cytamobile-vodafone.com/cminfo/cmconnect/cmpaymonthly/pricing_GR_clip_image001_0016.gif"/>
        <xdr:cNvSpPr>
          <a:spLocks noChangeAspect="1"/>
        </xdr:cNvSpPr>
      </xdr:nvSpPr>
      <xdr:spPr>
        <a:xfrm>
          <a:off x="8696325" y="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" cy="0"/>
    <xdr:sp>
      <xdr:nvSpPr>
        <xdr:cNvPr id="6" name="AutoShape 19" descr="http://www.cytamobile-vodafone.com/cminfo/cmconnect/cmpaymonthly/pricing_GR_clip_image001_0016.gif"/>
        <xdr:cNvSpPr>
          <a:spLocks noChangeAspect="1"/>
        </xdr:cNvSpPr>
      </xdr:nvSpPr>
      <xdr:spPr>
        <a:xfrm>
          <a:off x="9858375" y="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" cy="0"/>
    <xdr:sp>
      <xdr:nvSpPr>
        <xdr:cNvPr id="7" name="AutoShape 19" descr="http://www.cytamobile-vodafone.com/cminfo/cmconnect/cmpaymonthly/pricing_GR_clip_image001_0016.gif"/>
        <xdr:cNvSpPr>
          <a:spLocks noChangeAspect="1"/>
        </xdr:cNvSpPr>
      </xdr:nvSpPr>
      <xdr:spPr>
        <a:xfrm>
          <a:off x="9858375" y="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" cy="0"/>
    <xdr:sp>
      <xdr:nvSpPr>
        <xdr:cNvPr id="8" name="AutoShape 19" descr="http://www.cytamobile-vodafone.com/cminfo/cmconnect/cmpaymonthly/pricing_GR_clip_image001_0016.gif"/>
        <xdr:cNvSpPr>
          <a:spLocks noChangeAspect="1"/>
        </xdr:cNvSpPr>
      </xdr:nvSpPr>
      <xdr:spPr>
        <a:xfrm>
          <a:off x="9858375" y="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" cy="0"/>
    <xdr:sp>
      <xdr:nvSpPr>
        <xdr:cNvPr id="9" name="AutoShape 19" descr="http://www.cytamobile-vodafone.com/cminfo/cmconnect/cmpaymonthly/pricing_GR_clip_image001_0016.gif"/>
        <xdr:cNvSpPr>
          <a:spLocks noChangeAspect="1"/>
        </xdr:cNvSpPr>
      </xdr:nvSpPr>
      <xdr:spPr>
        <a:xfrm>
          <a:off x="9858375" y="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" cy="0"/>
    <xdr:sp>
      <xdr:nvSpPr>
        <xdr:cNvPr id="10" name="AutoShape 19" descr="http://www.cytamobile-vodafone.com/cminfo/cmconnect/cmpaymonthly/pricing_GR_clip_image001_0016.gif"/>
        <xdr:cNvSpPr>
          <a:spLocks noChangeAspect="1"/>
        </xdr:cNvSpPr>
      </xdr:nvSpPr>
      <xdr:spPr>
        <a:xfrm>
          <a:off x="9858375" y="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" cy="0"/>
    <xdr:sp>
      <xdr:nvSpPr>
        <xdr:cNvPr id="11" name="AutoShape 19" descr="http://www.cytamobile-vodafone.com/cminfo/cmconnect/cmpaymonthly/pricing_GR_clip_image001_0016.gif"/>
        <xdr:cNvSpPr>
          <a:spLocks noChangeAspect="1"/>
        </xdr:cNvSpPr>
      </xdr:nvSpPr>
      <xdr:spPr>
        <a:xfrm>
          <a:off x="9858375" y="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="90" zoomScaleNormal="90" zoomScalePageLayoutView="0" workbookViewId="0" topLeftCell="A4">
      <selection activeCell="A46" sqref="A46:F46"/>
    </sheetView>
  </sheetViews>
  <sheetFormatPr defaultColWidth="9.140625" defaultRowHeight="15"/>
  <cols>
    <col min="1" max="1" width="40.00390625" style="30" customWidth="1"/>
    <col min="2" max="2" width="15.421875" style="30" bestFit="1" customWidth="1"/>
    <col min="3" max="3" width="16.28125" style="30" bestFit="1" customWidth="1"/>
    <col min="4" max="5" width="15.7109375" style="30" bestFit="1" customWidth="1"/>
    <col min="6" max="6" width="17.421875" style="30" customWidth="1"/>
    <col min="7" max="7" width="65.7109375" style="30" customWidth="1"/>
    <col min="8" max="16384" width="9.140625" style="30" customWidth="1"/>
  </cols>
  <sheetData>
    <row r="1" spans="1:6" ht="15.75">
      <c r="A1" s="199" t="s">
        <v>144</v>
      </c>
      <c r="B1" s="199"/>
      <c r="C1" s="199"/>
      <c r="D1" s="199"/>
      <c r="E1" s="199"/>
      <c r="F1" s="199"/>
    </row>
    <row r="3" spans="2:6" ht="15.75">
      <c r="B3" s="101">
        <v>2011</v>
      </c>
      <c r="C3" s="102">
        <f>B3+1</f>
        <v>2012</v>
      </c>
      <c r="D3" s="102">
        <f>C3+1</f>
        <v>2013</v>
      </c>
      <c r="E3" s="102">
        <f>D3+1</f>
        <v>2014</v>
      </c>
      <c r="F3" s="102">
        <f>E3+1</f>
        <v>2015</v>
      </c>
    </row>
    <row r="4" spans="1:7" s="36" customFormat="1" ht="15.75">
      <c r="A4" s="95" t="s">
        <v>86</v>
      </c>
      <c r="B4" s="99">
        <f>+Revenues!B14</f>
        <v>0</v>
      </c>
      <c r="C4" s="99">
        <f>+Revenues!C14</f>
        <v>0</v>
      </c>
      <c r="D4" s="99">
        <f>+Revenues!D14</f>
        <v>0</v>
      </c>
      <c r="E4" s="99">
        <f>+Revenues!E14</f>
        <v>0</v>
      </c>
      <c r="F4" s="99">
        <f>+Revenues!F14</f>
        <v>0</v>
      </c>
      <c r="G4" s="1"/>
    </row>
    <row r="5" spans="1:6" ht="15.75">
      <c r="A5" s="47" t="s">
        <v>87</v>
      </c>
      <c r="B5" s="99" t="e">
        <f>+Revenues!B18</f>
        <v>#DIV/0!</v>
      </c>
      <c r="C5" s="99" t="e">
        <f>+Revenues!C18</f>
        <v>#DIV/0!</v>
      </c>
      <c r="D5" s="99" t="e">
        <f>+Revenues!D18</f>
        <v>#DIV/0!</v>
      </c>
      <c r="E5" s="99" t="e">
        <f>+Revenues!E18</f>
        <v>#DIV/0!</v>
      </c>
      <c r="F5" s="99" t="e">
        <f>+Revenues!F18</f>
        <v>#DIV/0!</v>
      </c>
    </row>
    <row r="6" spans="1:7" s="33" customFormat="1" ht="15.75">
      <c r="A6" s="95" t="s">
        <v>88</v>
      </c>
      <c r="B6" s="99" t="e">
        <f>+Revenues!B20</f>
        <v>#DIV/0!</v>
      </c>
      <c r="C6" s="99" t="e">
        <f>+Revenues!C20</f>
        <v>#DIV/0!</v>
      </c>
      <c r="D6" s="99" t="e">
        <f>+Revenues!D20</f>
        <v>#DIV/0!</v>
      </c>
      <c r="E6" s="99" t="e">
        <f>+Revenues!E20</f>
        <v>#DIV/0!</v>
      </c>
      <c r="F6" s="99" t="e">
        <f>+Revenues!F20</f>
        <v>#DIV/0!</v>
      </c>
      <c r="G6" s="1"/>
    </row>
    <row r="7" spans="1:7" s="33" customFormat="1" ht="15.75">
      <c r="A7" s="96" t="s">
        <v>42</v>
      </c>
      <c r="B7" s="100" t="e">
        <f>+Revenues!B21</f>
        <v>#DIV/0!</v>
      </c>
      <c r="C7" s="100" t="e">
        <f>+Revenues!C21</f>
        <v>#DIV/0!</v>
      </c>
      <c r="D7" s="100" t="e">
        <f>+Revenues!D21</f>
        <v>#DIV/0!</v>
      </c>
      <c r="E7" s="100" t="e">
        <f>+Revenues!E21</f>
        <v>#DIV/0!</v>
      </c>
      <c r="F7" s="100" t="e">
        <f>+Revenues!F21</f>
        <v>#DIV/0!</v>
      </c>
      <c r="G7" s="1"/>
    </row>
    <row r="8" spans="1:7" s="44" customFormat="1" ht="15.75">
      <c r="A8" s="42"/>
      <c r="B8" s="43"/>
      <c r="C8" s="43"/>
      <c r="D8" s="43"/>
      <c r="E8" s="43"/>
      <c r="F8" s="43"/>
      <c r="G8" s="2"/>
    </row>
    <row r="9" spans="1:7" ht="15.75">
      <c r="A9" s="49"/>
      <c r="B9" s="98" t="s">
        <v>81</v>
      </c>
      <c r="C9" s="98" t="s">
        <v>82</v>
      </c>
      <c r="D9" s="51"/>
      <c r="E9" s="6"/>
      <c r="F9" s="7"/>
      <c r="G9" s="2"/>
    </row>
    <row r="10" spans="1:7" ht="15.75">
      <c r="A10" s="97" t="s">
        <v>80</v>
      </c>
      <c r="B10" s="158">
        <f>+Revenues!B24</f>
        <v>0</v>
      </c>
      <c r="C10" s="158">
        <f>+Revenues!C24</f>
        <v>0</v>
      </c>
      <c r="D10" s="51"/>
      <c r="E10" s="6"/>
      <c r="F10" s="7"/>
      <c r="G10" s="2"/>
    </row>
    <row r="11" spans="1:7" ht="15.75">
      <c r="A11" s="97" t="s">
        <v>83</v>
      </c>
      <c r="B11" s="158" t="e">
        <f>+Revenues!B25</f>
        <v>#DIV/0!</v>
      </c>
      <c r="C11" s="158" t="e">
        <f>+Revenues!C25</f>
        <v>#DIV/0!</v>
      </c>
      <c r="D11" s="51"/>
      <c r="E11" s="6"/>
      <c r="F11" s="7"/>
      <c r="G11" s="2"/>
    </row>
    <row r="12" spans="1:7" ht="15.75">
      <c r="A12" s="97" t="s">
        <v>84</v>
      </c>
      <c r="B12" s="158" t="e">
        <f>+Revenues!B26</f>
        <v>#DIV/0!</v>
      </c>
      <c r="C12" s="158" t="e">
        <f>+Revenues!C26</f>
        <v>#DIV/0!</v>
      </c>
      <c r="D12" s="51"/>
      <c r="E12" s="6"/>
      <c r="F12" s="7"/>
      <c r="G12" s="2"/>
    </row>
    <row r="13" spans="1:7" ht="15.75">
      <c r="A13" s="51"/>
      <c r="B13" s="51"/>
      <c r="C13" s="51"/>
      <c r="D13" s="51"/>
      <c r="E13" s="6"/>
      <c r="F13" s="7"/>
      <c r="G13" s="2"/>
    </row>
    <row r="14" spans="1:7" ht="15.75">
      <c r="A14" s="49"/>
      <c r="B14" s="50"/>
      <c r="C14" s="51"/>
      <c r="D14" s="51"/>
      <c r="E14" s="6"/>
      <c r="F14" s="7"/>
      <c r="G14" s="2"/>
    </row>
    <row r="15" spans="1:7" ht="15.75">
      <c r="A15" s="200" t="s">
        <v>89</v>
      </c>
      <c r="B15" s="200"/>
      <c r="C15" s="200"/>
      <c r="D15" s="98" t="s">
        <v>90</v>
      </c>
      <c r="E15" s="98" t="s">
        <v>91</v>
      </c>
      <c r="F15" s="98" t="s">
        <v>92</v>
      </c>
      <c r="G15" s="2"/>
    </row>
    <row r="16" spans="1:7" ht="15.75">
      <c r="A16" s="202" t="s">
        <v>182</v>
      </c>
      <c r="B16" s="202"/>
      <c r="C16" s="202"/>
      <c r="D16" s="202"/>
      <c r="E16" s="202"/>
      <c r="F16" s="202"/>
      <c r="G16" s="2"/>
    </row>
    <row r="17" spans="1:7" ht="15.75">
      <c r="A17" s="201" t="str">
        <f>+'Κόστος ΥΠΥ'!A13</f>
        <v>1. Τέλος ενεργοποίησης δικαιούχου</v>
      </c>
      <c r="B17" s="201"/>
      <c r="C17" s="201"/>
      <c r="D17" s="170">
        <f>+'Κόστος ΥΠΥ'!B13</f>
        <v>30475.67</v>
      </c>
      <c r="E17" s="172">
        <f>+'Κόστος ΥΠΥ'!C13</f>
        <v>0</v>
      </c>
      <c r="F17" s="171">
        <v>0</v>
      </c>
      <c r="G17" s="2"/>
    </row>
    <row r="18" spans="1:6" ht="15.75">
      <c r="A18" s="201" t="str">
        <f>+'Κόστος ΥΠΥ'!A14</f>
        <v>2. Τέλη σύνδεσης σε κέντρο MSC της ΑΤΗΚ</v>
      </c>
      <c r="B18" s="201"/>
      <c r="C18" s="201"/>
      <c r="D18" s="170">
        <f>+'Κόστος ΥΠΥ'!B14</f>
        <v>667.69</v>
      </c>
      <c r="E18" s="172">
        <f>+'Κόστος ΥΠΥ'!C14</f>
        <v>0</v>
      </c>
      <c r="F18" s="171">
        <v>0</v>
      </c>
    </row>
    <row r="19" spans="1:6" ht="15.75">
      <c r="A19" s="201" t="str">
        <f>+'Κόστος ΥΠΥ'!A15</f>
        <v>3. Τέλη υπηρεσιών συνεγκατάστασης</v>
      </c>
      <c r="B19" s="201"/>
      <c r="C19" s="201"/>
      <c r="D19" s="172">
        <f>+'Κόστος ΥΠΥ'!B15</f>
        <v>0</v>
      </c>
      <c r="E19" s="172">
        <f>+'Κόστος ΥΠΥ'!C15</f>
        <v>0</v>
      </c>
      <c r="F19" s="171">
        <v>0</v>
      </c>
    </row>
    <row r="20" spans="1:6" ht="15.75">
      <c r="A20" s="201" t="str">
        <f>+'Κόστος ΥΠΥ'!A16</f>
        <v>4. Άλλες υπηρεσίες</v>
      </c>
      <c r="B20" s="201"/>
      <c r="C20" s="201"/>
      <c r="D20" s="172">
        <f>+'Κόστος ΥΠΥ'!B16</f>
        <v>0</v>
      </c>
      <c r="E20" s="172">
        <f>+'Κόστος ΥΠΥ'!C16</f>
        <v>0</v>
      </c>
      <c r="F20" s="171">
        <v>0</v>
      </c>
    </row>
    <row r="21" spans="1:6" ht="15.75">
      <c r="A21" s="201" t="str">
        <f>+'Κόστος ΥΠΥ'!A17</f>
        <v>5. Τέλη Πρόσβασης Ethernet</v>
      </c>
      <c r="B21" s="201"/>
      <c r="C21" s="201"/>
      <c r="D21" s="172">
        <f>+'Κόστος ΥΠΥ'!B17</f>
        <v>-0.19</v>
      </c>
      <c r="E21" s="172">
        <f>+'Κόστος ΥΠΥ'!C17</f>
        <v>0</v>
      </c>
      <c r="F21" s="171">
        <v>0</v>
      </c>
    </row>
    <row r="22" spans="1:6" ht="15.75">
      <c r="A22" s="202" t="s">
        <v>106</v>
      </c>
      <c r="B22" s="202"/>
      <c r="C22" s="202"/>
      <c r="D22" s="202">
        <f>+'Κόστος ΥΠΥ'!B18</f>
        <v>0</v>
      </c>
      <c r="E22" s="202">
        <f>+'Κόστος ΥΠΥ'!C18</f>
        <v>0</v>
      </c>
      <c r="F22" s="202">
        <f>+'Κόστος ΥΠΥ'!D18</f>
        <v>0</v>
      </c>
    </row>
    <row r="23" spans="1:6" ht="15.75">
      <c r="A23" s="201" t="str">
        <f>+'Κόστος ΥΠΥ'!A19</f>
        <v>1. Υπηρεσία δρομολόγησης κλήσεων εντός του Κινητού  Δικτύου της ΑΤΗΚ</v>
      </c>
      <c r="B23" s="201"/>
      <c r="C23" s="201"/>
      <c r="D23" s="172">
        <f>+'Κόστος ΥΠΥ'!B19</f>
        <v>0.03642</v>
      </c>
      <c r="E23" s="172">
        <f>+'Κόστος ΥΠΥ'!C19</f>
        <v>0</v>
      </c>
      <c r="F23" s="171">
        <v>0</v>
      </c>
    </row>
    <row r="24" spans="1:6" ht="15.75">
      <c r="A24" s="201" t="str">
        <f>+'Κόστος ΥΠΥ'!A20</f>
        <v>2. Υπηρεσία έναρξης κλήσεων από το Κινητό  Δίκτυο της ΑΤΗΚ</v>
      </c>
      <c r="B24" s="201"/>
      <c r="C24" s="201"/>
      <c r="D24" s="172">
        <f>+'Κόστος ΥΠΥ'!B20</f>
        <v>0.01749</v>
      </c>
      <c r="E24" s="172">
        <f>+'Κόστος ΥΠΥ'!C20</f>
        <v>0</v>
      </c>
      <c r="F24" s="171">
        <v>0</v>
      </c>
    </row>
    <row r="25" spans="1:6" ht="15.75">
      <c r="A25" s="201" t="str">
        <f>+'Κόστος ΥΠΥ'!A21</f>
        <v>3. Υπηρεσία τερματισμού κλήσεων στο Κινητό Δίκτυο της ΑΤΗΚ</v>
      </c>
      <c r="B25" s="201"/>
      <c r="C25" s="201"/>
      <c r="D25" s="172">
        <f>+'Κόστος ΥΠΥ'!B21</f>
        <v>0.01965</v>
      </c>
      <c r="E25" s="172">
        <f>+'Κόστος ΥΠΥ'!C21</f>
        <v>0</v>
      </c>
      <c r="F25" s="171">
        <v>0</v>
      </c>
    </row>
    <row r="26" spans="1:6" ht="15.75">
      <c r="A26" s="201" t="str">
        <f>+'Κόστος ΥΠΥ'!A22</f>
        <v>4. Τερματισμός σε Τελικούς Χρήστες του Σταθερού Δικτύου της ΑΤΗΚ </v>
      </c>
      <c r="B26" s="201"/>
      <c r="C26" s="201"/>
      <c r="D26" s="172">
        <f>+'Κόστος ΥΠΥ'!B22</f>
        <v>0.02381</v>
      </c>
      <c r="E26" s="172">
        <f>+'Κόστος ΥΠΥ'!C22</f>
        <v>0</v>
      </c>
      <c r="F26" s="171">
        <v>0</v>
      </c>
    </row>
    <row r="27" spans="1:6" ht="15.75">
      <c r="A27" s="201" t="str">
        <f>+'Κόστος ΥΠΥ'!A23</f>
        <v>5. Τερματισμός σε υπηρεσίες πληροφοριών καταλόγου της ΑΤΗΚ 11892</v>
      </c>
      <c r="B27" s="201"/>
      <c r="C27" s="201"/>
      <c r="D27" s="172">
        <f>+'Κόστος ΥΠΥ'!B23</f>
        <v>0.27408</v>
      </c>
      <c r="E27" s="172">
        <f>+'Κόστος ΥΠΥ'!C23</f>
        <v>0</v>
      </c>
      <c r="F27" s="171">
        <v>0</v>
      </c>
    </row>
    <row r="28" spans="1:6" ht="15.75">
      <c r="A28" s="201" t="str">
        <f>+'Κόστος ΥΠΥ'!A24</f>
        <v>6. Τερματισμός σε Υπηρεσίες Έκτακτης Ανάγκης 112/199</v>
      </c>
      <c r="B28" s="201"/>
      <c r="C28" s="201"/>
      <c r="D28" s="172">
        <f>+'Κόστος ΥΠΥ'!B24</f>
        <v>0.02381</v>
      </c>
      <c r="E28" s="172">
        <f>+'Κόστος ΥΠΥ'!C24</f>
        <v>0</v>
      </c>
      <c r="F28" s="171">
        <v>0</v>
      </c>
    </row>
    <row r="29" spans="1:6" ht="15.75">
      <c r="A29" s="201" t="str">
        <f>+'Κόστος ΥΠΥ'!A25</f>
        <v>7. Τερματισμός σε Υπηρεσίες τριψήφιων και τετραψήφιων αριθμών (εκτός 1893, 1895)</v>
      </c>
      <c r="B29" s="201"/>
      <c r="C29" s="201"/>
      <c r="D29" s="172">
        <f>+'Κόστος ΥΠΥ'!B25</f>
        <v>0.02381</v>
      </c>
      <c r="E29" s="172">
        <f>+'Κόστος ΥΠΥ'!C25</f>
        <v>0</v>
      </c>
      <c r="F29" s="171">
        <v>0</v>
      </c>
    </row>
    <row r="30" spans="1:6" ht="15.75">
      <c r="A30" s="201" t="str">
        <f>+'Κόστος ΥΠΥ'!A26</f>
        <v>8. Τερματισμός σε Υπηρεσίες 1893, 1895</v>
      </c>
      <c r="B30" s="201"/>
      <c r="C30" s="201"/>
      <c r="D30" s="172" t="str">
        <f>+'Κόστος ΥΠΥ'!B26</f>
        <v>ΕΣ</v>
      </c>
      <c r="E30" s="172" t="str">
        <f>+'Κόστος ΥΠΥ'!C26</f>
        <v>ΕΣ</v>
      </c>
      <c r="F30" s="171">
        <v>0</v>
      </c>
    </row>
    <row r="31" spans="1:6" ht="15.75">
      <c r="A31" s="201" t="str">
        <f>+'Κόστος ΥΠΥ'!A27</f>
        <v>9. Τερματισμός σε Υπηρεσίες Εθνικών και Διεθνών Ελευθέρων Κλήσεων </v>
      </c>
      <c r="B31" s="201"/>
      <c r="C31" s="201"/>
      <c r="D31" s="172" t="str">
        <f>+'Κόστος ΥΠΥ'!B27</f>
        <v>ΕΣ</v>
      </c>
      <c r="E31" s="172" t="str">
        <f>+'Κόστος ΥΠΥ'!C27</f>
        <v>ΕΣ</v>
      </c>
      <c r="F31" s="171">
        <v>0</v>
      </c>
    </row>
    <row r="32" spans="1:6" ht="15.75">
      <c r="A32" s="201" t="str">
        <f>+'Κόστος ΥΠΥ'!A28</f>
        <v>10. Τερματισμός σε Υπηρεσίες Προσωπικού Αριθμού </v>
      </c>
      <c r="B32" s="201"/>
      <c r="C32" s="201"/>
      <c r="D32" s="172">
        <f>+'Κόστος ΥΠΥ'!B28</f>
        <v>0.05737</v>
      </c>
      <c r="E32" s="172">
        <f>+'Κόστος ΥΠΥ'!C28</f>
        <v>0</v>
      </c>
      <c r="F32" s="171">
        <v>0</v>
      </c>
    </row>
    <row r="33" spans="1:6" ht="15.75">
      <c r="A33" s="201" t="str">
        <f>+'Κόστος ΥΠΥ'!A29</f>
        <v>11. Τερματισμός σε Υπηρεσίες Υπερτιμημένων κλήσεων </v>
      </c>
      <c r="B33" s="201"/>
      <c r="C33" s="201"/>
      <c r="D33" s="172" t="str">
        <f>+'Κόστος ΥΠΥ'!B29</f>
        <v>ΕΣ</v>
      </c>
      <c r="E33" s="172" t="str">
        <f>+'Κόστος ΥΠΥ'!C29</f>
        <v>ΕΣ</v>
      </c>
      <c r="F33" s="171">
        <v>0</v>
      </c>
    </row>
    <row r="34" spans="1:6" ht="15.75">
      <c r="A34" s="201" t="str">
        <f>+'Κόστος ΥΠΥ'!A30</f>
        <v>12. Τερματισμός σε Υπηρεσία Ένας Αριθμός </v>
      </c>
      <c r="B34" s="201"/>
      <c r="C34" s="201"/>
      <c r="D34" s="172">
        <f>+'Κόστος ΥΠΥ'!B30</f>
        <v>0.05737</v>
      </c>
      <c r="E34" s="172">
        <f>+'Κόστος ΥΠΥ'!C30</f>
        <v>0</v>
      </c>
      <c r="F34" s="171">
        <v>0</v>
      </c>
    </row>
    <row r="35" spans="1:6" ht="15.75">
      <c r="A35" s="201" t="str">
        <f>+'Κόστος ΥΠΥ'!A31</f>
        <v>13. Υπηρεσία δρομολόγησης κλήσεων που τερματίζονται σε Δίκτυα άλλων παροχέων συνδεδεμένα με Κιν. ΑΤΗΚ </v>
      </c>
      <c r="B35" s="201"/>
      <c r="C35" s="201"/>
      <c r="D35" s="172">
        <f>+'Κόστος ΥΠΥ'!B31</f>
        <v>0.01749</v>
      </c>
      <c r="E35" s="172">
        <f>+'Κόστος ΥΠΥ'!C31</f>
        <v>0</v>
      </c>
      <c r="F35" s="171">
        <v>0</v>
      </c>
    </row>
    <row r="36" spans="1:6" ht="15.75">
      <c r="A36" s="201" t="str">
        <f>+'Κόστος ΥΠΥ'!A32</f>
        <v>14. Υπηρεσία δρομολόγησης κλήσεων που που διαβιβάζονται για τερματισμό σε Δίκτυα άλλων παροχέων σε εθνικό επίπεδο μέσω του Σταθερού Δικτύου της ΑΤΗΚ </v>
      </c>
      <c r="B36" s="201"/>
      <c r="C36" s="201"/>
      <c r="D36" s="172">
        <f>+'Κόστος ΥΠΥ'!B32</f>
        <v>0.02082</v>
      </c>
      <c r="E36" s="172">
        <f>+'Κόστος ΥΠΥ'!C32</f>
        <v>0</v>
      </c>
      <c r="F36" s="171">
        <v>0</v>
      </c>
    </row>
    <row r="37" spans="1:6" ht="15.75">
      <c r="A37" s="201" t="str">
        <f>+'Κόστος ΥΠΥ'!A33</f>
        <v>15. Υπηρεσία δρομολόγησης διεθνούς κίνησης μέσω του Σταθερού Δικτύου της ΑΤΗΚ</v>
      </c>
      <c r="B37" s="201"/>
      <c r="C37" s="201"/>
      <c r="D37" s="172" t="str">
        <f>+'Κόστος ΥΠΥ'!B33</f>
        <v>ΕΣ</v>
      </c>
      <c r="E37" s="172" t="str">
        <f>+'Κόστος ΥΠΥ'!C33</f>
        <v>ΕΣ</v>
      </c>
      <c r="F37" s="171">
        <v>0</v>
      </c>
    </row>
    <row r="38" spans="1:6" ht="15.75">
      <c r="A38" s="201" t="str">
        <f>+'Κόστος ΥΠΥ'!A34</f>
        <v>16. Υπηρεσία διερεύνησης δρομολόγησης κλήσεων μέσω του Κινητού Δικτύου της ΑΤΗΚ</v>
      </c>
      <c r="B38" s="201"/>
      <c r="C38" s="201"/>
      <c r="D38" s="172">
        <f>+'Κόστος ΥΠΥ'!B34</f>
        <v>0.00022</v>
      </c>
      <c r="E38" s="172">
        <f>+'Κόστος ΥΠΥ'!C34</f>
        <v>0</v>
      </c>
      <c r="F38" s="171">
        <v>0</v>
      </c>
    </row>
    <row r="39" spans="1:6" ht="15.75">
      <c r="A39" s="201" t="str">
        <f>+'Κόστος ΥΠΥ'!A35</f>
        <v>17. Υπηρεσίες εθνικών βιντεο-κλήσεων</v>
      </c>
      <c r="B39" s="201"/>
      <c r="C39" s="201"/>
      <c r="D39" s="172">
        <f>+'Κόστος ΥΠΥ'!B35</f>
        <v>-0.19</v>
      </c>
      <c r="E39" s="172">
        <v>0</v>
      </c>
      <c r="F39" s="171">
        <v>0</v>
      </c>
    </row>
    <row r="40" spans="1:6" ht="15.75">
      <c r="A40" s="201" t="str">
        <f>+'Κόστος ΥΠΥ'!A36</f>
        <v>18. Υπηρεσίες διεθνών βιντεο-κλήσεων</v>
      </c>
      <c r="B40" s="201"/>
      <c r="C40" s="201"/>
      <c r="D40" s="172">
        <f>+'Κόστος ΥΠΥ'!B36</f>
        <v>-0.19</v>
      </c>
      <c r="E40" s="172">
        <v>0</v>
      </c>
      <c r="F40" s="171">
        <v>0</v>
      </c>
    </row>
    <row r="41" spans="1:6" ht="15.75">
      <c r="A41" s="202" t="s">
        <v>107</v>
      </c>
      <c r="B41" s="202"/>
      <c r="C41" s="202"/>
      <c r="D41" s="202">
        <f>+'Κόστος ΥΠΥ'!B37</f>
        <v>0</v>
      </c>
      <c r="E41" s="202">
        <f>+'Κόστος ΥΠΥ'!C37</f>
        <v>0</v>
      </c>
      <c r="F41" s="202">
        <f>+'Κόστος ΥΠΥ'!D37</f>
        <v>0</v>
      </c>
    </row>
    <row r="42" spans="1:6" ht="15.75">
      <c r="A42" s="201" t="str">
        <f>+'Κόστος ΥΠΥ'!A38</f>
        <v>1. Αποστολή SMS από τους Τελικούς Χρήστες του Δικαιούχου (mobile originated)</v>
      </c>
      <c r="B42" s="201"/>
      <c r="C42" s="201"/>
      <c r="D42" s="172">
        <f>+'Κόστος ΥΠΥ'!B38</f>
        <v>0.00629</v>
      </c>
      <c r="E42" s="187">
        <v>0</v>
      </c>
      <c r="F42" s="121">
        <v>0</v>
      </c>
    </row>
    <row r="43" spans="1:6" ht="15.75">
      <c r="A43" s="201" t="str">
        <f>+'Κόστος ΥΠΥ'!A39</f>
        <v>2. Tερματισμός SMS από τους Τελικούς Χρήστες του Δικαιούχου σε ΑΤΗΚ</v>
      </c>
      <c r="B43" s="201"/>
      <c r="C43" s="201"/>
      <c r="D43" s="172">
        <f>+'Κόστος ΥΠΥ'!B39</f>
        <v>0.00629</v>
      </c>
      <c r="E43" s="187">
        <v>0</v>
      </c>
      <c r="F43" s="121">
        <v>0</v>
      </c>
    </row>
    <row r="44" spans="1:6" ht="15.75">
      <c r="A44" s="201" t="str">
        <f>+'Κόστος ΥΠΥ'!A40</f>
        <v>3. Τερματισμό SMS από τους Τελικούς Χρήστες του Δικαιούχου σε άλλους παροχείς</v>
      </c>
      <c r="B44" s="201"/>
      <c r="C44" s="201"/>
      <c r="D44" s="172" t="str">
        <f>+'Κόστος ΥΠΥ'!B40</f>
        <v>Ε.Σ.</v>
      </c>
      <c r="E44" s="172" t="str">
        <f>+'Κόστος ΥΠΥ'!C40</f>
        <v>Ε.Σ.</v>
      </c>
      <c r="F44" s="171">
        <v>0</v>
      </c>
    </row>
    <row r="45" spans="1:6" ht="15.75">
      <c r="A45" s="201" t="str">
        <f>+'Κόστος ΥΠΥ'!A41</f>
        <v>4. Τερματισμό SMS σε Τελικούς Χρήστες του Δικαιούχου (πλην αυτών από ΑΤΗΚ) </v>
      </c>
      <c r="B45" s="201"/>
      <c r="C45" s="201"/>
      <c r="D45" s="172">
        <f>+'Κόστος ΥΠΥ'!B41</f>
        <v>0.00629</v>
      </c>
      <c r="E45" s="187">
        <v>0</v>
      </c>
      <c r="F45" s="121">
        <v>0</v>
      </c>
    </row>
    <row r="46" spans="1:6" ht="15.75">
      <c r="A46" s="203" t="s">
        <v>108</v>
      </c>
      <c r="B46" s="203"/>
      <c r="C46" s="203"/>
      <c r="D46" s="203"/>
      <c r="E46" s="203"/>
      <c r="F46" s="203"/>
    </row>
    <row r="47" spans="1:6" ht="15.75">
      <c r="A47" s="201" t="str">
        <f>+'Κόστος ΥΠΥ'!A43</f>
        <v>1. Τέλη υπηρεσιών μηνυμάτων πολυμεσών (MMS)και τέλη υπηρεσιών GPRS</v>
      </c>
      <c r="B47" s="201"/>
      <c r="C47" s="201"/>
      <c r="D47" s="172">
        <f>+'Κόστος ΥΠΥ'!B43</f>
        <v>0.0512</v>
      </c>
      <c r="E47" s="172" t="e">
        <f>+'GPRS Cost'!F13*(1-0.1934)</f>
        <v>#DIV/0!</v>
      </c>
      <c r="F47" s="121" t="e">
        <f>(E47-D47)/D47</f>
        <v>#DIV/0!</v>
      </c>
    </row>
  </sheetData>
  <sheetProtection/>
  <mergeCells count="34">
    <mergeCell ref="A44:C44"/>
    <mergeCell ref="A45:C45"/>
    <mergeCell ref="A31:C31"/>
    <mergeCell ref="A32:C32"/>
    <mergeCell ref="A33:C33"/>
    <mergeCell ref="A34:C34"/>
    <mergeCell ref="A35:C35"/>
    <mergeCell ref="A47:C47"/>
    <mergeCell ref="A36:C36"/>
    <mergeCell ref="A37:C37"/>
    <mergeCell ref="A38:C38"/>
    <mergeCell ref="A39:C39"/>
    <mergeCell ref="A40:C40"/>
    <mergeCell ref="A41:F41"/>
    <mergeCell ref="A46:F46"/>
    <mergeCell ref="A42:C42"/>
    <mergeCell ref="A43:C43"/>
    <mergeCell ref="A29:C29"/>
    <mergeCell ref="A30:C30"/>
    <mergeCell ref="A19:C19"/>
    <mergeCell ref="A20:C20"/>
    <mergeCell ref="A21:C21"/>
    <mergeCell ref="A23:C23"/>
    <mergeCell ref="A24:C24"/>
    <mergeCell ref="A22:F22"/>
    <mergeCell ref="A25:C25"/>
    <mergeCell ref="A26:C26"/>
    <mergeCell ref="A1:F1"/>
    <mergeCell ref="A15:C15"/>
    <mergeCell ref="A17:C17"/>
    <mergeCell ref="A18:C18"/>
    <mergeCell ref="A28:C28"/>
    <mergeCell ref="A16:F16"/>
    <mergeCell ref="A27:C2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="70" zoomScaleNormal="70" zoomScalePageLayoutView="0" workbookViewId="0" topLeftCell="A1">
      <selection activeCell="E13" sqref="E13"/>
    </sheetView>
  </sheetViews>
  <sheetFormatPr defaultColWidth="9.140625" defaultRowHeight="15"/>
  <cols>
    <col min="1" max="1" width="67.28125" style="30" customWidth="1"/>
    <col min="2" max="2" width="15.421875" style="30" bestFit="1" customWidth="1"/>
    <col min="3" max="3" width="16.28125" style="30" bestFit="1" customWidth="1"/>
    <col min="4" max="5" width="15.7109375" style="30" bestFit="1" customWidth="1"/>
    <col min="6" max="6" width="17.421875" style="30" bestFit="1" customWidth="1"/>
    <col min="7" max="7" width="65.7109375" style="30" customWidth="1"/>
    <col min="8" max="16384" width="9.140625" style="30" customWidth="1"/>
  </cols>
  <sheetData>
    <row r="1" spans="1:7" ht="21">
      <c r="A1" s="205" t="s">
        <v>145</v>
      </c>
      <c r="B1" s="205"/>
      <c r="C1" s="205"/>
      <c r="D1" s="205"/>
      <c r="E1" s="205"/>
      <c r="F1" s="205"/>
      <c r="G1" s="205"/>
    </row>
    <row r="2" spans="1:7" ht="15.75">
      <c r="A2" s="103"/>
      <c r="B2" s="34">
        <v>2011</v>
      </c>
      <c r="C2" s="35">
        <f>B2+1</f>
        <v>2012</v>
      </c>
      <c r="D2" s="35">
        <f>C2+1</f>
        <v>2013</v>
      </c>
      <c r="E2" s="35">
        <f>D2+1</f>
        <v>2014</v>
      </c>
      <c r="F2" s="35">
        <f>E2+1</f>
        <v>2015</v>
      </c>
      <c r="G2" s="89" t="s">
        <v>85</v>
      </c>
    </row>
    <row r="3" spans="1:7" s="36" customFormat="1" ht="33.75" customHeight="1">
      <c r="A3" s="52" t="s">
        <v>49</v>
      </c>
      <c r="B3" s="53">
        <f>IF(B11&gt;B5,B5,B11)</f>
        <v>0</v>
      </c>
      <c r="C3" s="53">
        <f>IF(C11&gt;C5,C5,C11)</f>
        <v>0</v>
      </c>
      <c r="D3" s="53">
        <f>IF(D11&gt;D5,D5,D11)</f>
        <v>0</v>
      </c>
      <c r="E3" s="53">
        <f>E5</f>
        <v>0</v>
      </c>
      <c r="F3" s="53">
        <f>F5</f>
        <v>0</v>
      </c>
      <c r="G3" s="90"/>
    </row>
    <row r="4" spans="1:7" ht="15.75">
      <c r="A4" s="37"/>
      <c r="B4" s="38"/>
      <c r="C4" s="39"/>
      <c r="D4" s="39"/>
      <c r="E4" s="3"/>
      <c r="F4" s="4"/>
      <c r="G4" s="91"/>
    </row>
    <row r="5" spans="1:7" ht="15.75">
      <c r="A5" s="54" t="s">
        <v>43</v>
      </c>
      <c r="B5" s="57">
        <f>SUM(B7:B9)</f>
        <v>0</v>
      </c>
      <c r="C5" s="57">
        <f>SUM(C7:C9)</f>
        <v>0</v>
      </c>
      <c r="D5" s="57">
        <f>SUM(D7:D9)</f>
        <v>0</v>
      </c>
      <c r="E5" s="57">
        <f>SUM(E7:E9)</f>
        <v>0</v>
      </c>
      <c r="F5" s="57">
        <f>SUM(F7:F9)</f>
        <v>0</v>
      </c>
      <c r="G5" s="91"/>
    </row>
    <row r="6" spans="1:7" ht="15.75">
      <c r="A6" s="37" t="s">
        <v>44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91"/>
    </row>
    <row r="7" spans="1:7" ht="15.75">
      <c r="A7" s="37" t="s">
        <v>45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91"/>
    </row>
    <row r="8" spans="1:7" ht="15.75">
      <c r="A8" s="37" t="s">
        <v>46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204"/>
    </row>
    <row r="9" spans="1:7" ht="15.75">
      <c r="A9" s="37" t="s">
        <v>47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204"/>
    </row>
    <row r="10" spans="1:7" ht="15.75">
      <c r="A10" s="37" t="s">
        <v>191</v>
      </c>
      <c r="B10" s="40"/>
      <c r="C10" s="40"/>
      <c r="D10" s="40"/>
      <c r="E10" s="40"/>
      <c r="F10" s="40"/>
      <c r="G10" s="91"/>
    </row>
    <row r="11" spans="1:7" ht="15.75">
      <c r="A11" s="54" t="s">
        <v>48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91"/>
    </row>
    <row r="12" spans="1:7" ht="15.75">
      <c r="A12" s="37"/>
      <c r="B12" s="40"/>
      <c r="C12" s="41"/>
      <c r="D12" s="41"/>
      <c r="E12" s="5"/>
      <c r="F12" s="5"/>
      <c r="G12" s="91"/>
    </row>
    <row r="13" spans="1:7" ht="15.75">
      <c r="A13" s="54" t="s">
        <v>50</v>
      </c>
      <c r="B13" s="79">
        <v>0</v>
      </c>
      <c r="C13" s="55">
        <v>0</v>
      </c>
      <c r="D13" s="55">
        <v>0</v>
      </c>
      <c r="E13" s="55">
        <v>0</v>
      </c>
      <c r="F13" s="80">
        <v>0</v>
      </c>
      <c r="G13" s="91"/>
    </row>
    <row r="14" spans="1:7" s="36" customFormat="1" ht="15.75">
      <c r="A14" s="92" t="s">
        <v>0</v>
      </c>
      <c r="B14" s="13">
        <f>+'Traffic MVNO'!N12</f>
        <v>0</v>
      </c>
      <c r="C14" s="13">
        <f>+'Traffic MVNO'!N23</f>
        <v>0</v>
      </c>
      <c r="D14" s="13">
        <f>+'Traffic MVNO'!N34</f>
        <v>0</v>
      </c>
      <c r="E14" s="13">
        <f>+'Traffic MVNO'!N45</f>
        <v>0</v>
      </c>
      <c r="F14" s="13">
        <f>+'Traffic MVNO'!N56</f>
        <v>0</v>
      </c>
      <c r="G14" s="1"/>
    </row>
    <row r="15" spans="1:7" s="44" customFormat="1" ht="15.75">
      <c r="A15" s="42"/>
      <c r="B15" s="43"/>
      <c r="C15" s="43"/>
      <c r="D15" s="43"/>
      <c r="E15" s="43"/>
      <c r="F15" s="43"/>
      <c r="G15" s="2"/>
    </row>
    <row r="16" spans="1:7" s="44" customFormat="1" ht="15.75">
      <c r="A16" s="45" t="s">
        <v>11</v>
      </c>
      <c r="B16" s="46">
        <v>0.04</v>
      </c>
      <c r="C16" s="43"/>
      <c r="D16" s="43"/>
      <c r="E16" s="43"/>
      <c r="F16" s="43"/>
      <c r="G16" s="2"/>
    </row>
    <row r="17" spans="1:7" s="44" customFormat="1" ht="15.75">
      <c r="A17" s="47"/>
      <c r="B17" s="48"/>
      <c r="C17" s="43"/>
      <c r="D17" s="43"/>
      <c r="E17" s="43"/>
      <c r="F17" s="43"/>
      <c r="G17" s="2"/>
    </row>
    <row r="18" spans="1:6" ht="15.75">
      <c r="A18" s="93" t="s">
        <v>14</v>
      </c>
      <c r="B18" s="94" t="e">
        <f>'Capital &amp; Operational Costs'!I77</f>
        <v>#DIV/0!</v>
      </c>
      <c r="C18" s="94" t="e">
        <f>'Capital &amp; Operational Costs'!J77</f>
        <v>#DIV/0!</v>
      </c>
      <c r="D18" s="94" t="e">
        <f>'Capital &amp; Operational Costs'!K77</f>
        <v>#DIV/0!</v>
      </c>
      <c r="E18" s="94" t="e">
        <f>'Capital &amp; Operational Costs'!L77</f>
        <v>#DIV/0!</v>
      </c>
      <c r="F18" s="94" t="e">
        <f>'Capital &amp; Operational Costs'!M77</f>
        <v>#DIV/0!</v>
      </c>
    </row>
    <row r="19" spans="1:7" s="44" customFormat="1" ht="15.75">
      <c r="A19" s="42"/>
      <c r="B19" s="43"/>
      <c r="C19" s="43"/>
      <c r="D19" s="43"/>
      <c r="E19" s="43"/>
      <c r="F19" s="43"/>
      <c r="G19" s="2"/>
    </row>
    <row r="20" spans="1:7" s="33" customFormat="1" ht="15.75">
      <c r="A20" s="31" t="s">
        <v>41</v>
      </c>
      <c r="B20" s="32" t="e">
        <f>B14-B18</f>
        <v>#DIV/0!</v>
      </c>
      <c r="C20" s="32" t="e">
        <f>C14-C18</f>
        <v>#DIV/0!</v>
      </c>
      <c r="D20" s="32" t="e">
        <f>D14-D18</f>
        <v>#DIV/0!</v>
      </c>
      <c r="E20" s="32" t="e">
        <f>E14-E18</f>
        <v>#DIV/0!</v>
      </c>
      <c r="F20" s="32" t="e">
        <f>F14-F18</f>
        <v>#DIV/0!</v>
      </c>
      <c r="G20" s="1"/>
    </row>
    <row r="21" spans="1:7" s="33" customFormat="1" ht="15.75">
      <c r="A21" s="31" t="s">
        <v>42</v>
      </c>
      <c r="B21" s="32" t="e">
        <f>B20</f>
        <v>#DIV/0!</v>
      </c>
      <c r="C21" s="32" t="e">
        <f>B21+C20</f>
        <v>#DIV/0!</v>
      </c>
      <c r="D21" s="32" t="e">
        <f>C21+D20</f>
        <v>#DIV/0!</v>
      </c>
      <c r="E21" s="32" t="e">
        <f>D21+E20</f>
        <v>#DIV/0!</v>
      </c>
      <c r="F21" s="32" t="e">
        <f>E21+F20</f>
        <v>#DIV/0!</v>
      </c>
      <c r="G21" s="1"/>
    </row>
    <row r="22" spans="1:7" s="44" customFormat="1" ht="15.75">
      <c r="A22" s="42"/>
      <c r="B22" s="43"/>
      <c r="C22" s="43"/>
      <c r="D22" s="43"/>
      <c r="E22" s="43"/>
      <c r="F22" s="43"/>
      <c r="G22" s="2"/>
    </row>
    <row r="23" spans="1:7" ht="15.75">
      <c r="A23" s="49"/>
      <c r="B23" s="104" t="s">
        <v>81</v>
      </c>
      <c r="C23" s="104" t="s">
        <v>82</v>
      </c>
      <c r="D23" s="51"/>
      <c r="E23" s="6"/>
      <c r="F23" s="7"/>
      <c r="G23" s="2"/>
    </row>
    <row r="24" spans="1:7" ht="15.75">
      <c r="A24" s="105" t="s">
        <v>80</v>
      </c>
      <c r="B24" s="106">
        <f>NPV(B16,B14,C14,D14,E14,F14)</f>
        <v>0</v>
      </c>
      <c r="C24" s="106">
        <f>+B24/5</f>
        <v>0</v>
      </c>
      <c r="D24" s="51"/>
      <c r="E24" s="6"/>
      <c r="F24" s="7"/>
      <c r="G24" s="2"/>
    </row>
    <row r="25" spans="1:7" ht="15.75">
      <c r="A25" s="105" t="s">
        <v>83</v>
      </c>
      <c r="B25" s="106" t="e">
        <f>+'Capital &amp; Operational Costs'!I80</f>
        <v>#DIV/0!</v>
      </c>
      <c r="C25" s="106" t="e">
        <f>+B25/5</f>
        <v>#DIV/0!</v>
      </c>
      <c r="D25" s="51"/>
      <c r="E25" s="6"/>
      <c r="F25" s="7"/>
      <c r="G25" s="2"/>
    </row>
    <row r="26" spans="1:7" ht="15.75">
      <c r="A26" s="105" t="s">
        <v>84</v>
      </c>
      <c r="B26" s="106" t="e">
        <f>+B24-B25</f>
        <v>#DIV/0!</v>
      </c>
      <c r="C26" s="106" t="e">
        <f>+B26/5</f>
        <v>#DIV/0!</v>
      </c>
      <c r="D26" s="51"/>
      <c r="E26" s="6"/>
      <c r="F26" s="7"/>
      <c r="G26" s="2"/>
    </row>
    <row r="27" spans="1:7" ht="15.75">
      <c r="A27" s="51"/>
      <c r="B27" s="51"/>
      <c r="C27" s="51"/>
      <c r="D27" s="51"/>
      <c r="E27" s="6"/>
      <c r="F27" s="7"/>
      <c r="G27" s="2"/>
    </row>
    <row r="28" spans="1:7" ht="15.75">
      <c r="A28" s="49"/>
      <c r="B28" s="50"/>
      <c r="C28" s="51"/>
      <c r="D28" s="51"/>
      <c r="E28" s="6"/>
      <c r="F28" s="7"/>
      <c r="G28" s="2"/>
    </row>
    <row r="29" spans="1:7" ht="15.75">
      <c r="A29" s="49"/>
      <c r="B29" s="50"/>
      <c r="C29" s="51"/>
      <c r="D29" s="51"/>
      <c r="E29" s="6"/>
      <c r="F29" s="7"/>
      <c r="G29" s="2"/>
    </row>
    <row r="30" spans="1:7" ht="15.75">
      <c r="A30" s="49"/>
      <c r="B30" s="50"/>
      <c r="C30" s="51"/>
      <c r="D30" s="51"/>
      <c r="E30" s="6"/>
      <c r="F30" s="7"/>
      <c r="G30" s="2"/>
    </row>
    <row r="33" ht="15.75">
      <c r="F33" s="198"/>
    </row>
    <row r="34" ht="15.75">
      <c r="F34" s="198"/>
    </row>
    <row r="35" ht="15.75">
      <c r="F35" s="198"/>
    </row>
    <row r="36" ht="15.75">
      <c r="F36" s="198"/>
    </row>
  </sheetData>
  <sheetProtection/>
  <mergeCells count="2">
    <mergeCell ref="G8:G9"/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86" zoomScaleNormal="86" zoomScalePageLayoutView="0" workbookViewId="0" topLeftCell="A1">
      <pane xSplit="1" ySplit="3" topLeftCell="D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" sqref="A12"/>
    </sheetView>
  </sheetViews>
  <sheetFormatPr defaultColWidth="9.140625" defaultRowHeight="15"/>
  <cols>
    <col min="1" max="1" width="63.28125" style="0" bestFit="1" customWidth="1"/>
    <col min="2" max="2" width="13.140625" style="11" bestFit="1" customWidth="1"/>
    <col min="3" max="3" width="9.421875" style="14" customWidth="1"/>
    <col min="4" max="4" width="12.57421875" style="14" customWidth="1"/>
    <col min="5" max="5" width="13.8515625" style="0" customWidth="1"/>
    <col min="6" max="6" width="10.28125" style="128" customWidth="1"/>
    <col min="7" max="7" width="17.00390625" style="0" customWidth="1"/>
    <col min="8" max="8" width="13.140625" style="0" bestFit="1" customWidth="1"/>
    <col min="9" max="9" width="14.57421875" style="0" bestFit="1" customWidth="1"/>
    <col min="10" max="10" width="16.28125" style="0" bestFit="1" customWidth="1"/>
    <col min="11" max="11" width="14.28125" style="0" customWidth="1"/>
    <col min="12" max="13" width="14.421875" style="0" bestFit="1" customWidth="1"/>
    <col min="14" max="14" width="23.8515625" style="128" customWidth="1"/>
  </cols>
  <sheetData>
    <row r="1" spans="1:14" ht="21">
      <c r="A1" s="206" t="s">
        <v>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30" customHeight="1">
      <c r="A2" s="213"/>
      <c r="B2" s="214" t="s">
        <v>2</v>
      </c>
      <c r="C2" s="215" t="s">
        <v>3</v>
      </c>
      <c r="D2" s="212" t="s">
        <v>183</v>
      </c>
      <c r="E2" s="212" t="s">
        <v>184</v>
      </c>
      <c r="F2" s="212" t="s">
        <v>92</v>
      </c>
      <c r="G2" s="212" t="s">
        <v>4</v>
      </c>
      <c r="H2" s="212" t="s">
        <v>5</v>
      </c>
      <c r="I2" s="207" t="s">
        <v>1</v>
      </c>
      <c r="J2" s="208"/>
      <c r="K2" s="208"/>
      <c r="L2" s="208"/>
      <c r="M2" s="209"/>
      <c r="N2" s="210" t="s">
        <v>85</v>
      </c>
    </row>
    <row r="3" spans="1:14" ht="38.25" customHeight="1">
      <c r="A3" s="213"/>
      <c r="B3" s="214"/>
      <c r="C3" s="215"/>
      <c r="D3" s="212"/>
      <c r="E3" s="212"/>
      <c r="F3" s="212"/>
      <c r="G3" s="212"/>
      <c r="H3" s="212"/>
      <c r="I3" s="8">
        <v>2011</v>
      </c>
      <c r="J3" s="8">
        <v>2012</v>
      </c>
      <c r="K3" s="8">
        <v>2013</v>
      </c>
      <c r="L3" s="8">
        <v>2014</v>
      </c>
      <c r="M3" s="8">
        <v>2015</v>
      </c>
      <c r="N3" s="211"/>
    </row>
    <row r="4" spans="1:14" ht="15">
      <c r="A4" s="10" t="s">
        <v>6</v>
      </c>
      <c r="B4" s="86"/>
      <c r="C4" s="120"/>
      <c r="D4" s="175">
        <f>SUM(D5:D15)</f>
        <v>0</v>
      </c>
      <c r="E4" s="175" t="e">
        <f>SUM(E5:E15)</f>
        <v>#DIV/0!</v>
      </c>
      <c r="F4" s="107"/>
      <c r="G4" s="120"/>
      <c r="H4" s="107" t="e">
        <f aca="true" t="shared" si="0" ref="H4:M4">SUM(H5:H15)</f>
        <v>#DIV/0!</v>
      </c>
      <c r="I4" s="107" t="e">
        <f t="shared" si="0"/>
        <v>#DIV/0!</v>
      </c>
      <c r="J4" s="107" t="e">
        <f t="shared" si="0"/>
        <v>#DIV/0!</v>
      </c>
      <c r="K4" s="107" t="e">
        <f t="shared" si="0"/>
        <v>#DIV/0!</v>
      </c>
      <c r="L4" s="107" t="e">
        <f t="shared" si="0"/>
        <v>#DIV/0!</v>
      </c>
      <c r="M4" s="107" t="e">
        <f t="shared" si="0"/>
        <v>#DIV/0!</v>
      </c>
      <c r="N4" s="107"/>
    </row>
    <row r="5" spans="1:14" s="9" customFormat="1" ht="15">
      <c r="A5" s="20" t="s">
        <v>95</v>
      </c>
      <c r="B5" s="173">
        <v>497067</v>
      </c>
      <c r="C5" s="114">
        <v>1</v>
      </c>
      <c r="D5" s="184">
        <v>0</v>
      </c>
      <c r="E5" s="134">
        <f>+D5+F5*D5</f>
        <v>0</v>
      </c>
      <c r="F5" s="171">
        <v>0</v>
      </c>
      <c r="G5" s="114">
        <v>10</v>
      </c>
      <c r="H5" s="173">
        <f aca="true" t="shared" si="1" ref="H5:H13">+E5/G5</f>
        <v>0</v>
      </c>
      <c r="I5" s="173">
        <f aca="true" t="shared" si="2" ref="I5:I15">+E5-H5</f>
        <v>0</v>
      </c>
      <c r="J5" s="173">
        <f>IF((+I5-$H5)&gt;0,I5-$H5,0)</f>
        <v>0</v>
      </c>
      <c r="K5" s="173">
        <f>IF((+J5-$H5)&gt;0,J5-$H5,0)</f>
        <v>0</v>
      </c>
      <c r="L5" s="173">
        <f>IF((+K5-$H5)&gt;0,K5-$H5,0)</f>
        <v>0</v>
      </c>
      <c r="M5" s="173">
        <f>IF((+L5-$H5)&gt;0,L5-$H5,0)</f>
        <v>0</v>
      </c>
      <c r="N5" s="117"/>
    </row>
    <row r="6" spans="1:14" ht="15">
      <c r="A6" s="20" t="s">
        <v>195</v>
      </c>
      <c r="B6" s="173">
        <v>2550000</v>
      </c>
      <c r="C6" s="87">
        <v>1</v>
      </c>
      <c r="D6" s="184">
        <v>0</v>
      </c>
      <c r="E6" s="134" t="e">
        <f aca="true" t="shared" si="3" ref="E6:E15">+D6+F6*D6</f>
        <v>#DIV/0!</v>
      </c>
      <c r="F6" s="171" t="e">
        <f>'Traffic MVNO'!$B$76-1</f>
        <v>#DIV/0!</v>
      </c>
      <c r="G6" s="114">
        <v>10</v>
      </c>
      <c r="H6" s="173" t="e">
        <f t="shared" si="1"/>
        <v>#DIV/0!</v>
      </c>
      <c r="I6" s="173" t="e">
        <f t="shared" si="2"/>
        <v>#DIV/0!</v>
      </c>
      <c r="J6" s="173" t="e">
        <f aca="true" t="shared" si="4" ref="J6:M15">IF((+I6-$H6)&gt;0,I6-$H6,0)</f>
        <v>#DIV/0!</v>
      </c>
      <c r="K6" s="173" t="e">
        <f t="shared" si="4"/>
        <v>#DIV/0!</v>
      </c>
      <c r="L6" s="173" t="e">
        <f t="shared" si="4"/>
        <v>#DIV/0!</v>
      </c>
      <c r="M6" s="173" t="e">
        <f t="shared" si="4"/>
        <v>#DIV/0!</v>
      </c>
      <c r="N6" s="117"/>
    </row>
    <row r="7" spans="1:14" ht="15">
      <c r="A7" s="20" t="s">
        <v>96</v>
      </c>
      <c r="B7" s="173">
        <v>180000</v>
      </c>
      <c r="C7" s="87">
        <v>1</v>
      </c>
      <c r="D7" s="184">
        <v>0</v>
      </c>
      <c r="E7" s="134" t="e">
        <f t="shared" si="3"/>
        <v>#DIV/0!</v>
      </c>
      <c r="F7" s="171" t="e">
        <f>F6</f>
        <v>#DIV/0!</v>
      </c>
      <c r="G7" s="114">
        <v>10</v>
      </c>
      <c r="H7" s="173" t="e">
        <f t="shared" si="1"/>
        <v>#DIV/0!</v>
      </c>
      <c r="I7" s="173" t="e">
        <f t="shared" si="2"/>
        <v>#DIV/0!</v>
      </c>
      <c r="J7" s="173" t="e">
        <f t="shared" si="4"/>
        <v>#DIV/0!</v>
      </c>
      <c r="K7" s="173" t="e">
        <f t="shared" si="4"/>
        <v>#DIV/0!</v>
      </c>
      <c r="L7" s="173" t="e">
        <f t="shared" si="4"/>
        <v>#DIV/0!</v>
      </c>
      <c r="M7" s="173" t="e">
        <f t="shared" si="4"/>
        <v>#DIV/0!</v>
      </c>
      <c r="N7" s="117"/>
    </row>
    <row r="8" spans="1:14" ht="15">
      <c r="A8" s="20" t="s">
        <v>97</v>
      </c>
      <c r="B8" s="173">
        <v>300000</v>
      </c>
      <c r="C8" s="119">
        <v>1</v>
      </c>
      <c r="D8" s="184">
        <v>0</v>
      </c>
      <c r="E8" s="134" t="e">
        <f t="shared" si="3"/>
        <v>#DIV/0!</v>
      </c>
      <c r="F8" s="171" t="e">
        <f aca="true" t="shared" si="5" ref="F8:F13">F7</f>
        <v>#DIV/0!</v>
      </c>
      <c r="G8" s="114">
        <v>10</v>
      </c>
      <c r="H8" s="173" t="e">
        <f t="shared" si="1"/>
        <v>#DIV/0!</v>
      </c>
      <c r="I8" s="173" t="e">
        <f t="shared" si="2"/>
        <v>#DIV/0!</v>
      </c>
      <c r="J8" s="173" t="e">
        <f t="shared" si="4"/>
        <v>#DIV/0!</v>
      </c>
      <c r="K8" s="173" t="e">
        <f t="shared" si="4"/>
        <v>#DIV/0!</v>
      </c>
      <c r="L8" s="173" t="e">
        <f t="shared" si="4"/>
        <v>#DIV/0!</v>
      </c>
      <c r="M8" s="173" t="e">
        <f t="shared" si="4"/>
        <v>#DIV/0!</v>
      </c>
      <c r="N8" s="117"/>
    </row>
    <row r="9" spans="1:14" ht="15">
      <c r="A9" s="20" t="s">
        <v>98</v>
      </c>
      <c r="B9" s="173">
        <v>350000</v>
      </c>
      <c r="C9" s="118">
        <v>1</v>
      </c>
      <c r="D9" s="184">
        <v>0</v>
      </c>
      <c r="E9" s="134" t="e">
        <f t="shared" si="3"/>
        <v>#DIV/0!</v>
      </c>
      <c r="F9" s="171" t="e">
        <f t="shared" si="5"/>
        <v>#DIV/0!</v>
      </c>
      <c r="G9" s="114">
        <v>10</v>
      </c>
      <c r="H9" s="173" t="e">
        <f t="shared" si="1"/>
        <v>#DIV/0!</v>
      </c>
      <c r="I9" s="173" t="e">
        <f t="shared" si="2"/>
        <v>#DIV/0!</v>
      </c>
      <c r="J9" s="173" t="e">
        <f t="shared" si="4"/>
        <v>#DIV/0!</v>
      </c>
      <c r="K9" s="173" t="e">
        <f t="shared" si="4"/>
        <v>#DIV/0!</v>
      </c>
      <c r="L9" s="173" t="e">
        <f t="shared" si="4"/>
        <v>#DIV/0!</v>
      </c>
      <c r="M9" s="173" t="e">
        <f t="shared" si="4"/>
        <v>#DIV/0!</v>
      </c>
      <c r="N9" s="117"/>
    </row>
    <row r="10" spans="1:14" ht="15">
      <c r="A10" s="20" t="s">
        <v>99</v>
      </c>
      <c r="B10" s="173">
        <v>285000</v>
      </c>
      <c r="C10" s="118">
        <v>1</v>
      </c>
      <c r="D10" s="184">
        <v>0</v>
      </c>
      <c r="E10" s="134" t="e">
        <f t="shared" si="3"/>
        <v>#DIV/0!</v>
      </c>
      <c r="F10" s="171" t="e">
        <f t="shared" si="5"/>
        <v>#DIV/0!</v>
      </c>
      <c r="G10" s="114">
        <v>10</v>
      </c>
      <c r="H10" s="173" t="e">
        <f t="shared" si="1"/>
        <v>#DIV/0!</v>
      </c>
      <c r="I10" s="173" t="e">
        <f t="shared" si="2"/>
        <v>#DIV/0!</v>
      </c>
      <c r="J10" s="173" t="e">
        <f t="shared" si="4"/>
        <v>#DIV/0!</v>
      </c>
      <c r="K10" s="173" t="e">
        <f t="shared" si="4"/>
        <v>#DIV/0!</v>
      </c>
      <c r="L10" s="173" t="e">
        <f t="shared" si="4"/>
        <v>#DIV/0!</v>
      </c>
      <c r="M10" s="173" t="e">
        <f t="shared" si="4"/>
        <v>#DIV/0!</v>
      </c>
      <c r="N10" s="117"/>
    </row>
    <row r="11" spans="1:14" ht="15">
      <c r="A11" s="20" t="s">
        <v>100</v>
      </c>
      <c r="B11" s="173">
        <v>5700</v>
      </c>
      <c r="C11" s="118">
        <v>1</v>
      </c>
      <c r="D11" s="184">
        <v>0</v>
      </c>
      <c r="E11" s="134" t="e">
        <f t="shared" si="3"/>
        <v>#DIV/0!</v>
      </c>
      <c r="F11" s="171" t="e">
        <f t="shared" si="5"/>
        <v>#DIV/0!</v>
      </c>
      <c r="G11" s="114">
        <v>33</v>
      </c>
      <c r="H11" s="173" t="e">
        <f>+E11/G11</f>
        <v>#DIV/0!</v>
      </c>
      <c r="I11" s="173" t="e">
        <f t="shared" si="2"/>
        <v>#DIV/0!</v>
      </c>
      <c r="J11" s="173" t="e">
        <f t="shared" si="4"/>
        <v>#DIV/0!</v>
      </c>
      <c r="K11" s="173" t="e">
        <f t="shared" si="4"/>
        <v>#DIV/0!</v>
      </c>
      <c r="L11" s="173" t="e">
        <f t="shared" si="4"/>
        <v>#DIV/0!</v>
      </c>
      <c r="M11" s="173" t="e">
        <f t="shared" si="4"/>
        <v>#DIV/0!</v>
      </c>
      <c r="N11" s="117"/>
    </row>
    <row r="12" spans="1:14" ht="15">
      <c r="A12" s="20" t="s">
        <v>101</v>
      </c>
      <c r="B12" s="173">
        <v>380000</v>
      </c>
      <c r="C12" s="118">
        <v>1</v>
      </c>
      <c r="D12" s="184">
        <v>0</v>
      </c>
      <c r="E12" s="134" t="e">
        <f t="shared" si="3"/>
        <v>#DIV/0!</v>
      </c>
      <c r="F12" s="171" t="e">
        <f t="shared" si="5"/>
        <v>#DIV/0!</v>
      </c>
      <c r="G12" s="114">
        <v>10</v>
      </c>
      <c r="H12" s="173" t="e">
        <f>+E12/G12</f>
        <v>#DIV/0!</v>
      </c>
      <c r="I12" s="173" t="e">
        <f t="shared" si="2"/>
        <v>#DIV/0!</v>
      </c>
      <c r="J12" s="173" t="e">
        <f t="shared" si="4"/>
        <v>#DIV/0!</v>
      </c>
      <c r="K12" s="173" t="e">
        <f t="shared" si="4"/>
        <v>#DIV/0!</v>
      </c>
      <c r="L12" s="173" t="e">
        <f t="shared" si="4"/>
        <v>#DIV/0!</v>
      </c>
      <c r="M12" s="173" t="e">
        <f t="shared" si="4"/>
        <v>#DIV/0!</v>
      </c>
      <c r="N12" s="117"/>
    </row>
    <row r="13" spans="1:14" ht="15">
      <c r="A13" s="20" t="s">
        <v>102</v>
      </c>
      <c r="B13" s="173">
        <v>996553</v>
      </c>
      <c r="C13" s="118">
        <v>1</v>
      </c>
      <c r="D13" s="184">
        <v>0</v>
      </c>
      <c r="E13" s="134" t="e">
        <f t="shared" si="3"/>
        <v>#DIV/0!</v>
      </c>
      <c r="F13" s="171" t="e">
        <f t="shared" si="5"/>
        <v>#DIV/0!</v>
      </c>
      <c r="G13" s="114">
        <v>3</v>
      </c>
      <c r="H13" s="173" t="e">
        <f t="shared" si="1"/>
        <v>#DIV/0!</v>
      </c>
      <c r="I13" s="173" t="e">
        <f t="shared" si="2"/>
        <v>#DIV/0!</v>
      </c>
      <c r="J13" s="173" t="e">
        <f t="shared" si="4"/>
        <v>#DIV/0!</v>
      </c>
      <c r="K13" s="173" t="e">
        <f t="shared" si="4"/>
        <v>#DIV/0!</v>
      </c>
      <c r="L13" s="173" t="e">
        <f t="shared" si="4"/>
        <v>#DIV/0!</v>
      </c>
      <c r="M13" s="173" t="e">
        <f t="shared" si="4"/>
        <v>#DIV/0!</v>
      </c>
      <c r="N13" s="117"/>
    </row>
    <row r="14" spans="1:14" ht="30.75" customHeight="1">
      <c r="A14" s="231" t="s">
        <v>196</v>
      </c>
      <c r="B14" s="173">
        <v>58400</v>
      </c>
      <c r="C14" s="118">
        <v>1</v>
      </c>
      <c r="D14" s="184">
        <v>0</v>
      </c>
      <c r="E14" s="134">
        <f t="shared" si="3"/>
        <v>0</v>
      </c>
      <c r="F14" s="171">
        <v>0</v>
      </c>
      <c r="G14" s="114">
        <v>3</v>
      </c>
      <c r="H14" s="173">
        <f>+E14/G14</f>
        <v>0</v>
      </c>
      <c r="I14" s="173">
        <f t="shared" si="2"/>
        <v>0</v>
      </c>
      <c r="J14" s="173">
        <f t="shared" si="4"/>
        <v>0</v>
      </c>
      <c r="K14" s="173">
        <f t="shared" si="4"/>
        <v>0</v>
      </c>
      <c r="L14" s="173">
        <f t="shared" si="4"/>
        <v>0</v>
      </c>
      <c r="M14" s="173">
        <f t="shared" si="4"/>
        <v>0</v>
      </c>
      <c r="N14" s="117"/>
    </row>
    <row r="15" spans="1:14" ht="15">
      <c r="A15" s="20" t="s">
        <v>103</v>
      </c>
      <c r="B15" s="173">
        <v>42141</v>
      </c>
      <c r="C15" s="118">
        <v>1</v>
      </c>
      <c r="D15" s="184">
        <v>0</v>
      </c>
      <c r="E15" s="134">
        <f t="shared" si="3"/>
        <v>0</v>
      </c>
      <c r="F15" s="171">
        <v>0</v>
      </c>
      <c r="G15" s="114">
        <v>33</v>
      </c>
      <c r="H15" s="173">
        <f>+E15/G15</f>
        <v>0</v>
      </c>
      <c r="I15" s="173">
        <f t="shared" si="2"/>
        <v>0</v>
      </c>
      <c r="J15" s="173">
        <f t="shared" si="4"/>
        <v>0</v>
      </c>
      <c r="K15" s="173">
        <f t="shared" si="4"/>
        <v>0</v>
      </c>
      <c r="L15" s="173">
        <f t="shared" si="4"/>
        <v>0</v>
      </c>
      <c r="M15" s="173">
        <f t="shared" si="4"/>
        <v>0</v>
      </c>
      <c r="N15" s="117"/>
    </row>
    <row r="16" spans="1:14" ht="14.25" customHeight="1">
      <c r="A16" s="23"/>
      <c r="B16" s="23"/>
      <c r="C16" s="23"/>
      <c r="D16" s="174"/>
      <c r="E16" s="174"/>
      <c r="F16" s="23"/>
      <c r="G16" s="23"/>
      <c r="H16" s="174"/>
      <c r="I16" s="174"/>
      <c r="J16" s="174"/>
      <c r="K16" s="174"/>
      <c r="L16" s="174"/>
      <c r="M16" s="174"/>
      <c r="N16" s="23"/>
    </row>
    <row r="17" spans="1:14" ht="15">
      <c r="A17" s="10" t="s">
        <v>7</v>
      </c>
      <c r="B17" s="107"/>
      <c r="C17" s="108"/>
      <c r="D17" s="175">
        <f>SUM(D18:D31)</f>
        <v>0</v>
      </c>
      <c r="E17" s="175">
        <f>SUM(E18:E31)</f>
        <v>0</v>
      </c>
      <c r="F17" s="107"/>
      <c r="G17" s="108"/>
      <c r="H17" s="175"/>
      <c r="I17" s="175" t="e">
        <f>SUM(I18:I32)</f>
        <v>#DIV/0!</v>
      </c>
      <c r="J17" s="175" t="e">
        <f>SUM(J18:J32)</f>
        <v>#DIV/0!</v>
      </c>
      <c r="K17" s="175" t="e">
        <f>SUM(K18:K32)</f>
        <v>#DIV/0!</v>
      </c>
      <c r="L17" s="175" t="e">
        <f>SUM(L18:L32)</f>
        <v>#DIV/0!</v>
      </c>
      <c r="M17" s="175" t="e">
        <f>SUM(M18:M32)</f>
        <v>#DIV/0!</v>
      </c>
      <c r="N17" s="107"/>
    </row>
    <row r="18" spans="1:14" ht="15">
      <c r="A18" s="20" t="s">
        <v>17</v>
      </c>
      <c r="B18" s="173">
        <v>50000</v>
      </c>
      <c r="C18" s="87">
        <v>12</v>
      </c>
      <c r="D18" s="173">
        <v>0</v>
      </c>
      <c r="E18" s="134">
        <f aca="true" t="shared" si="6" ref="E18:E31">+D18+F18*D18</f>
        <v>0</v>
      </c>
      <c r="F18" s="171">
        <v>0</v>
      </c>
      <c r="G18" s="87"/>
      <c r="H18" s="186"/>
      <c r="I18" s="173">
        <f>+E18</f>
        <v>0</v>
      </c>
      <c r="J18" s="173">
        <f>+I18*1.3</f>
        <v>0</v>
      </c>
      <c r="K18" s="173">
        <f>+J18*1.153846</f>
        <v>0</v>
      </c>
      <c r="L18" s="173">
        <f>+K18*(1+L$71)</f>
        <v>0</v>
      </c>
      <c r="M18" s="173">
        <f>+L18*(1+M$71)</f>
        <v>0</v>
      </c>
      <c r="N18" s="117"/>
    </row>
    <row r="19" spans="1:14" ht="15">
      <c r="A19" s="20" t="s">
        <v>18</v>
      </c>
      <c r="B19" s="173">
        <v>80000</v>
      </c>
      <c r="C19" s="87">
        <v>12</v>
      </c>
      <c r="D19" s="173">
        <v>0</v>
      </c>
      <c r="E19" s="134">
        <f t="shared" si="6"/>
        <v>0</v>
      </c>
      <c r="F19" s="171">
        <v>0</v>
      </c>
      <c r="G19" s="87"/>
      <c r="H19" s="173"/>
      <c r="I19" s="173">
        <f>+E19</f>
        <v>0</v>
      </c>
      <c r="J19" s="173">
        <f>+I19*1.125</f>
        <v>0</v>
      </c>
      <c r="K19" s="173">
        <f>+J19*1.111111</f>
        <v>0</v>
      </c>
      <c r="L19" s="173">
        <f>+K19*(1+L$71)</f>
        <v>0</v>
      </c>
      <c r="M19" s="173">
        <f>+L19*(1+M$71)</f>
        <v>0</v>
      </c>
      <c r="N19" s="117"/>
    </row>
    <row r="20" spans="1:14" ht="15">
      <c r="A20" s="20" t="s">
        <v>19</v>
      </c>
      <c r="B20" s="173">
        <v>25000</v>
      </c>
      <c r="C20" s="87">
        <v>12</v>
      </c>
      <c r="D20" s="173">
        <v>0</v>
      </c>
      <c r="E20" s="134">
        <f t="shared" si="6"/>
        <v>0</v>
      </c>
      <c r="F20" s="171">
        <v>0</v>
      </c>
      <c r="G20" s="87"/>
      <c r="H20" s="173"/>
      <c r="I20" s="173">
        <f>+E20</f>
        <v>0</v>
      </c>
      <c r="J20" s="173">
        <f>+I20</f>
        <v>0</v>
      </c>
      <c r="K20" s="173">
        <f>+J20</f>
        <v>0</v>
      </c>
      <c r="L20" s="173">
        <f>+K20</f>
        <v>0</v>
      </c>
      <c r="M20" s="173">
        <f>+L20</f>
        <v>0</v>
      </c>
      <c r="N20" s="117"/>
    </row>
    <row r="21" spans="1:14" ht="15">
      <c r="A21" s="20" t="s">
        <v>20</v>
      </c>
      <c r="B21" s="173">
        <v>5000</v>
      </c>
      <c r="C21" s="87">
        <v>12</v>
      </c>
      <c r="D21" s="173">
        <v>0</v>
      </c>
      <c r="E21" s="134">
        <f t="shared" si="6"/>
        <v>0</v>
      </c>
      <c r="F21" s="171">
        <v>0</v>
      </c>
      <c r="G21" s="87"/>
      <c r="H21" s="173"/>
      <c r="I21" s="173">
        <f>+E21</f>
        <v>0</v>
      </c>
      <c r="J21" s="173">
        <f>+I21</f>
        <v>0</v>
      </c>
      <c r="K21" s="173">
        <f aca="true" t="shared" si="7" ref="K21:M22">+J21</f>
        <v>0</v>
      </c>
      <c r="L21" s="173">
        <f t="shared" si="7"/>
        <v>0</v>
      </c>
      <c r="M21" s="173">
        <f t="shared" si="7"/>
        <v>0</v>
      </c>
      <c r="N21" s="117"/>
    </row>
    <row r="22" spans="1:14" ht="15">
      <c r="A22" s="20" t="s">
        <v>21</v>
      </c>
      <c r="B22" s="173">
        <v>10000</v>
      </c>
      <c r="C22" s="87">
        <v>1</v>
      </c>
      <c r="D22" s="173">
        <v>0</v>
      </c>
      <c r="E22" s="134">
        <f t="shared" si="6"/>
        <v>0</v>
      </c>
      <c r="F22" s="171">
        <v>0</v>
      </c>
      <c r="G22" s="87"/>
      <c r="H22" s="173"/>
      <c r="I22" s="173">
        <f>+E22</f>
        <v>0</v>
      </c>
      <c r="J22" s="173">
        <f>+I22</f>
        <v>0</v>
      </c>
      <c r="K22" s="173">
        <f t="shared" si="7"/>
        <v>0</v>
      </c>
      <c r="L22" s="173">
        <f t="shared" si="7"/>
        <v>0</v>
      </c>
      <c r="M22" s="173">
        <f t="shared" si="7"/>
        <v>0</v>
      </c>
      <c r="N22" s="117"/>
    </row>
    <row r="23" spans="1:14" ht="15">
      <c r="A23" s="20" t="s">
        <v>63</v>
      </c>
      <c r="B23" s="173">
        <v>2</v>
      </c>
      <c r="C23" s="87">
        <v>1</v>
      </c>
      <c r="D23" s="184">
        <v>0</v>
      </c>
      <c r="E23" s="134">
        <f t="shared" si="6"/>
        <v>0</v>
      </c>
      <c r="F23" s="171">
        <v>0</v>
      </c>
      <c r="G23" s="114"/>
      <c r="H23" s="173"/>
      <c r="I23" s="173">
        <f>+$E$23*Revenues!B3</f>
        <v>0</v>
      </c>
      <c r="J23" s="173">
        <f>+$E$23*(Revenues!C3-Revenues!B3)</f>
        <v>0</v>
      </c>
      <c r="K23" s="173">
        <f>+$E$23*(Revenues!D3-Revenues!C3)</f>
        <v>0</v>
      </c>
      <c r="L23" s="173">
        <f>+$E$23*(Revenues!E3-Revenues!D3)</f>
        <v>0</v>
      </c>
      <c r="M23" s="173">
        <f>+$E$23*(Revenues!F3-Revenues!E3)</f>
        <v>0</v>
      </c>
      <c r="N23" s="117"/>
    </row>
    <row r="24" spans="1:14" ht="15">
      <c r="A24" s="20" t="s">
        <v>64</v>
      </c>
      <c r="B24" s="183">
        <v>0.05</v>
      </c>
      <c r="C24" s="87">
        <v>1</v>
      </c>
      <c r="D24" s="182">
        <v>0</v>
      </c>
      <c r="E24" s="136">
        <f t="shared" si="6"/>
        <v>0</v>
      </c>
      <c r="F24" s="171">
        <v>0</v>
      </c>
      <c r="G24" s="114"/>
      <c r="H24" s="173"/>
      <c r="I24" s="173">
        <f>+$E$24*Revenues!B3*60%*12</f>
        <v>0</v>
      </c>
      <c r="J24" s="173">
        <f>+$E$24*Revenues!C3*60%*12</f>
        <v>0</v>
      </c>
      <c r="K24" s="173">
        <f>+$E$24*Revenues!D3*60%*12</f>
        <v>0</v>
      </c>
      <c r="L24" s="173">
        <f>+$E$24*Revenues!E3*60%*12</f>
        <v>0</v>
      </c>
      <c r="M24" s="173">
        <f>+$E$24*Revenues!F3*60%*12</f>
        <v>0</v>
      </c>
      <c r="N24" s="117"/>
    </row>
    <row r="25" spans="1:14" ht="15">
      <c r="A25" s="20" t="s">
        <v>65</v>
      </c>
      <c r="B25" s="173">
        <v>343981</v>
      </c>
      <c r="C25" s="118">
        <v>1</v>
      </c>
      <c r="D25" s="184">
        <v>0</v>
      </c>
      <c r="E25" s="134">
        <f t="shared" si="6"/>
        <v>0</v>
      </c>
      <c r="F25" s="171">
        <v>0</v>
      </c>
      <c r="G25" s="114"/>
      <c r="H25" s="173"/>
      <c r="I25" s="173">
        <f>+E25</f>
        <v>0</v>
      </c>
      <c r="J25" s="173"/>
      <c r="K25" s="173"/>
      <c r="L25" s="173"/>
      <c r="M25" s="173"/>
      <c r="N25" s="117"/>
    </row>
    <row r="26" spans="1:14" s="9" customFormat="1" ht="15">
      <c r="A26" s="20" t="s">
        <v>66</v>
      </c>
      <c r="B26" s="173">
        <f>8*1.7086</f>
        <v>13.6688</v>
      </c>
      <c r="C26" s="118">
        <v>1000</v>
      </c>
      <c r="D26" s="173">
        <v>0</v>
      </c>
      <c r="E26" s="134">
        <f t="shared" si="6"/>
        <v>0</v>
      </c>
      <c r="F26" s="171">
        <v>0</v>
      </c>
      <c r="G26" s="114"/>
      <c r="H26" s="173"/>
      <c r="I26" s="173">
        <f>+Revenues!B3*$B$26/$C$26</f>
        <v>0</v>
      </c>
      <c r="J26" s="173">
        <f>+Revenues!C3*$B$26/$C$26</f>
        <v>0</v>
      </c>
      <c r="K26" s="173">
        <f>+Revenues!D3*$B$26/$C$26</f>
        <v>0</v>
      </c>
      <c r="L26" s="173">
        <f>+Revenues!E3*$B$26/$C$26</f>
        <v>0</v>
      </c>
      <c r="M26" s="173">
        <f>+Revenues!F3*$B$26/$C$26</f>
        <v>0</v>
      </c>
      <c r="N26" s="117"/>
    </row>
    <row r="27" spans="1:14" s="9" customFormat="1" ht="15">
      <c r="A27" s="20" t="s">
        <v>67</v>
      </c>
      <c r="B27" s="173"/>
      <c r="C27" s="185">
        <v>0.0026</v>
      </c>
      <c r="D27" s="173">
        <v>0</v>
      </c>
      <c r="E27" s="134">
        <f t="shared" si="6"/>
        <v>0</v>
      </c>
      <c r="F27" s="171">
        <v>0</v>
      </c>
      <c r="G27" s="114"/>
      <c r="H27" s="173"/>
      <c r="I27" s="173">
        <f>+Revenues!B14*0.26%</f>
        <v>0</v>
      </c>
      <c r="J27" s="173">
        <f>+Revenues!C14*0.26%</f>
        <v>0</v>
      </c>
      <c r="K27" s="173">
        <f>+Revenues!D14*0.26%</f>
        <v>0</v>
      </c>
      <c r="L27" s="173">
        <f>+Revenues!E14*0.26%</f>
        <v>0</v>
      </c>
      <c r="M27" s="173">
        <f>+Revenues!F14*0.26%</f>
        <v>0</v>
      </c>
      <c r="N27" s="117"/>
    </row>
    <row r="28" spans="1:14" ht="15">
      <c r="A28" s="20" t="s">
        <v>68</v>
      </c>
      <c r="B28" s="173">
        <v>30000</v>
      </c>
      <c r="C28" s="131">
        <v>1</v>
      </c>
      <c r="D28" s="173">
        <v>0</v>
      </c>
      <c r="E28" s="134">
        <f t="shared" si="6"/>
        <v>0</v>
      </c>
      <c r="F28" s="171">
        <v>0</v>
      </c>
      <c r="G28" s="114"/>
      <c r="H28" s="173"/>
      <c r="I28" s="173">
        <f>+E28</f>
        <v>0</v>
      </c>
      <c r="J28" s="173"/>
      <c r="K28" s="173"/>
      <c r="L28" s="173"/>
      <c r="M28" s="173"/>
      <c r="N28" s="117"/>
    </row>
    <row r="29" spans="1:14" ht="15">
      <c r="A29" s="20" t="s">
        <v>69</v>
      </c>
      <c r="B29" s="173">
        <v>350000</v>
      </c>
      <c r="C29" s="131">
        <v>1</v>
      </c>
      <c r="D29" s="173">
        <v>0</v>
      </c>
      <c r="E29" s="134">
        <f t="shared" si="6"/>
        <v>0</v>
      </c>
      <c r="F29" s="171">
        <v>0</v>
      </c>
      <c r="G29" s="114"/>
      <c r="H29" s="173"/>
      <c r="I29" s="173">
        <f>+E29</f>
        <v>0</v>
      </c>
      <c r="J29" s="173"/>
      <c r="K29" s="173"/>
      <c r="L29" s="173"/>
      <c r="M29" s="173"/>
      <c r="N29" s="117"/>
    </row>
    <row r="30" spans="1:14" ht="15">
      <c r="A30" s="20" t="s">
        <v>70</v>
      </c>
      <c r="B30" s="173">
        <v>5000</v>
      </c>
      <c r="C30" s="131">
        <v>1</v>
      </c>
      <c r="D30" s="173">
        <v>0</v>
      </c>
      <c r="E30" s="134">
        <f t="shared" si="6"/>
        <v>0</v>
      </c>
      <c r="F30" s="171">
        <v>0</v>
      </c>
      <c r="G30" s="114"/>
      <c r="H30" s="173"/>
      <c r="I30" s="173">
        <f>+E30</f>
        <v>0</v>
      </c>
      <c r="J30" s="173"/>
      <c r="K30" s="173"/>
      <c r="L30" s="173"/>
      <c r="M30" s="173"/>
      <c r="N30" s="117"/>
    </row>
    <row r="31" spans="1:14" ht="15">
      <c r="A31" s="20" t="s">
        <v>71</v>
      </c>
      <c r="B31" s="173">
        <v>15000</v>
      </c>
      <c r="C31" s="131">
        <v>1</v>
      </c>
      <c r="D31" s="173">
        <v>0</v>
      </c>
      <c r="E31" s="134">
        <f t="shared" si="6"/>
        <v>0</v>
      </c>
      <c r="F31" s="171">
        <v>0</v>
      </c>
      <c r="G31" s="114"/>
      <c r="H31" s="173"/>
      <c r="I31" s="173">
        <f>+E31</f>
        <v>0</v>
      </c>
      <c r="J31" s="173"/>
      <c r="K31" s="173"/>
      <c r="L31" s="173"/>
      <c r="M31" s="173"/>
      <c r="N31" s="117"/>
    </row>
    <row r="32" spans="1:14" ht="15">
      <c r="A32" s="20" t="s">
        <v>78</v>
      </c>
      <c r="B32" s="173"/>
      <c r="C32" s="118"/>
      <c r="D32" s="184"/>
      <c r="E32" s="134"/>
      <c r="F32" s="171"/>
      <c r="G32" s="114"/>
      <c r="H32" s="173"/>
      <c r="I32" s="173" t="e">
        <f>+E4-I4</f>
        <v>#DIV/0!</v>
      </c>
      <c r="J32" s="173" t="e">
        <f>+I4-J4</f>
        <v>#DIV/0!</v>
      </c>
      <c r="K32" s="173" t="e">
        <f>+J4-K4</f>
        <v>#DIV/0!</v>
      </c>
      <c r="L32" s="173" t="e">
        <f>+K4-L4</f>
        <v>#DIV/0!</v>
      </c>
      <c r="M32" s="173" t="e">
        <f>+L4-M4</f>
        <v>#DIV/0!</v>
      </c>
      <c r="N32" s="117"/>
    </row>
    <row r="33" spans="1:14" ht="14.25" customHeight="1">
      <c r="A33" s="23"/>
      <c r="B33" s="81"/>
      <c r="C33" s="82"/>
      <c r="D33" s="23"/>
      <c r="E33" s="23"/>
      <c r="F33" s="23"/>
      <c r="G33" s="82"/>
      <c r="H33" s="174"/>
      <c r="I33" s="174"/>
      <c r="J33" s="174"/>
      <c r="K33" s="174"/>
      <c r="L33" s="174"/>
      <c r="M33" s="174"/>
      <c r="N33" s="23"/>
    </row>
    <row r="34" spans="1:14" ht="15">
      <c r="A34" s="10" t="s">
        <v>40</v>
      </c>
      <c r="B34" s="107"/>
      <c r="C34" s="108"/>
      <c r="D34" s="107"/>
      <c r="E34" s="107"/>
      <c r="F34" s="107"/>
      <c r="G34" s="108"/>
      <c r="H34" s="175"/>
      <c r="I34" s="175" t="e">
        <f>I41+I60+I65+I35</f>
        <v>#DIV/0!</v>
      </c>
      <c r="J34" s="175" t="e">
        <f>J41+J60+J65+J35</f>
        <v>#DIV/0!</v>
      </c>
      <c r="K34" s="175" t="e">
        <f>K41+K60+K65+K35</f>
        <v>#DIV/0!</v>
      </c>
      <c r="L34" s="175" t="e">
        <f>L41+L60+L65+L35</f>
        <v>#DIV/0!</v>
      </c>
      <c r="M34" s="175" t="e">
        <f>M41+M60+M65+M35</f>
        <v>#DIV/0!</v>
      </c>
      <c r="N34" s="107"/>
    </row>
    <row r="35" spans="1:14" ht="15">
      <c r="A35" s="29" t="s">
        <v>109</v>
      </c>
      <c r="B35" s="111"/>
      <c r="C35" s="112"/>
      <c r="D35" s="111"/>
      <c r="E35" s="111"/>
      <c r="F35" s="111"/>
      <c r="G35" s="112"/>
      <c r="H35" s="176"/>
      <c r="I35" s="176">
        <f>SUM(I36:I40)</f>
        <v>0</v>
      </c>
      <c r="J35" s="176">
        <f>SUM(J36:J40)</f>
        <v>0</v>
      </c>
      <c r="K35" s="176">
        <f>SUM(K36:K40)</f>
        <v>0</v>
      </c>
      <c r="L35" s="176">
        <f>SUM(L36:L40)</f>
        <v>0</v>
      </c>
      <c r="M35" s="176">
        <f>SUM(M36:M40)</f>
        <v>0</v>
      </c>
      <c r="N35" s="111"/>
    </row>
    <row r="36" spans="1:14" ht="15">
      <c r="A36" s="132" t="str">
        <f>+'Κόστος ΥΠΥ'!A13</f>
        <v>1. Τέλος ενεργοποίησης δικαιούχου</v>
      </c>
      <c r="B36" s="109"/>
      <c r="C36" s="110"/>
      <c r="D36" s="113"/>
      <c r="E36" s="113"/>
      <c r="F36" s="113"/>
      <c r="G36" s="114"/>
      <c r="H36" s="170"/>
      <c r="I36" s="177">
        <f>+'Κόστος ΥΠΥ'!F13</f>
        <v>0</v>
      </c>
      <c r="J36" s="177">
        <f>+'Κόστος ΥΠΥ'!G13</f>
        <v>0</v>
      </c>
      <c r="K36" s="177">
        <f>+'Κόστος ΥΠΥ'!H13</f>
        <v>0</v>
      </c>
      <c r="L36" s="177">
        <f>+'Κόστος ΥΠΥ'!I13</f>
        <v>0</v>
      </c>
      <c r="M36" s="177">
        <f>+'Κόστος ΥΠΥ'!J13</f>
        <v>0</v>
      </c>
      <c r="N36" s="141"/>
    </row>
    <row r="37" spans="1:14" ht="15">
      <c r="A37" s="132" t="str">
        <f>+'Κόστος ΥΠΥ'!A14</f>
        <v>2. Τέλη σύνδεσης σε κέντρο MSC της ΑΤΗΚ</v>
      </c>
      <c r="B37" s="109"/>
      <c r="C37" s="110"/>
      <c r="D37" s="113"/>
      <c r="E37" s="113"/>
      <c r="F37" s="113"/>
      <c r="G37" s="114"/>
      <c r="H37" s="170"/>
      <c r="I37" s="177">
        <f>+'Κόστος ΥΠΥ'!F14</f>
        <v>0</v>
      </c>
      <c r="J37" s="177">
        <f>+'Κόστος ΥΠΥ'!G14</f>
        <v>0</v>
      </c>
      <c r="K37" s="177">
        <f>+'Κόστος ΥΠΥ'!H14</f>
        <v>0</v>
      </c>
      <c r="L37" s="177">
        <f>+'Κόστος ΥΠΥ'!I14</f>
        <v>0</v>
      </c>
      <c r="M37" s="177">
        <f>+'Κόστος ΥΠΥ'!J14</f>
        <v>0</v>
      </c>
      <c r="N37" s="141"/>
    </row>
    <row r="38" spans="1:14" ht="15">
      <c r="A38" s="132" t="str">
        <f>+'Κόστος ΥΠΥ'!A15</f>
        <v>3. Τέλη υπηρεσιών συνεγκατάστασης</v>
      </c>
      <c r="B38" s="109"/>
      <c r="C38" s="110"/>
      <c r="D38" s="113"/>
      <c r="E38" s="113"/>
      <c r="F38" s="113"/>
      <c r="G38" s="114"/>
      <c r="H38" s="170"/>
      <c r="I38" s="177">
        <f>+'Κόστος ΥΠΥ'!F15</f>
        <v>0</v>
      </c>
      <c r="J38" s="177">
        <f>+'Κόστος ΥΠΥ'!G15</f>
        <v>0</v>
      </c>
      <c r="K38" s="177">
        <f>+'Κόστος ΥΠΥ'!H15</f>
        <v>0</v>
      </c>
      <c r="L38" s="177">
        <f>+'Κόστος ΥΠΥ'!I15</f>
        <v>0</v>
      </c>
      <c r="M38" s="177">
        <f>+'Κόστος ΥΠΥ'!J15</f>
        <v>0</v>
      </c>
      <c r="N38" s="141"/>
    </row>
    <row r="39" spans="1:14" ht="15">
      <c r="A39" s="133" t="str">
        <f>+'Κόστος ΥΠΥ'!A16</f>
        <v>4. Άλλες υπηρεσίες</v>
      </c>
      <c r="B39" s="109"/>
      <c r="C39" s="110"/>
      <c r="D39" s="113"/>
      <c r="E39" s="113"/>
      <c r="F39" s="113"/>
      <c r="G39" s="114"/>
      <c r="H39" s="170"/>
      <c r="I39" s="177">
        <f>+'Κόστος ΥΠΥ'!F16</f>
        <v>0</v>
      </c>
      <c r="J39" s="177">
        <f>+'Κόστος ΥΠΥ'!G16</f>
        <v>0</v>
      </c>
      <c r="K39" s="177">
        <f>+'Κόστος ΥΠΥ'!H16</f>
        <v>0</v>
      </c>
      <c r="L39" s="177">
        <f>+'Κόστος ΥΠΥ'!I16</f>
        <v>0</v>
      </c>
      <c r="M39" s="177">
        <f>+'Κόστος ΥΠΥ'!J16</f>
        <v>0</v>
      </c>
      <c r="N39" s="141"/>
    </row>
    <row r="40" spans="1:14" s="128" customFormat="1" ht="15" customHeight="1">
      <c r="A40" s="132" t="str">
        <f>+'Κόστος ΥΠΥ'!A17</f>
        <v>5. Τέλη Πρόσβασης Ethernet</v>
      </c>
      <c r="B40" s="109"/>
      <c r="C40" s="129"/>
      <c r="D40" s="113"/>
      <c r="E40" s="113"/>
      <c r="F40" s="113"/>
      <c r="G40" s="130"/>
      <c r="H40" s="170"/>
      <c r="I40" s="177">
        <f>+'Κόστος ΥΠΥ'!F17</f>
        <v>0</v>
      </c>
      <c r="J40" s="177">
        <f>+'Κόστος ΥΠΥ'!G17</f>
        <v>0</v>
      </c>
      <c r="K40" s="177">
        <f>+'Κόστος ΥΠΥ'!H17</f>
        <v>0</v>
      </c>
      <c r="L40" s="177">
        <f>+'Κόστος ΥΠΥ'!I17</f>
        <v>0</v>
      </c>
      <c r="M40" s="177">
        <f>+'Κόστος ΥΠΥ'!J17</f>
        <v>0</v>
      </c>
      <c r="N40" s="141"/>
    </row>
    <row r="41" spans="1:14" s="28" customFormat="1" ht="15">
      <c r="A41" s="29" t="s">
        <v>110</v>
      </c>
      <c r="B41" s="111"/>
      <c r="C41" s="112"/>
      <c r="D41" s="111"/>
      <c r="E41" s="111"/>
      <c r="F41" s="111"/>
      <c r="G41" s="112"/>
      <c r="H41" s="176"/>
      <c r="I41" s="176" t="e">
        <f>SUM(I42:I59)</f>
        <v>#DIV/0!</v>
      </c>
      <c r="J41" s="176" t="e">
        <f>SUM(J42:J59)</f>
        <v>#DIV/0!</v>
      </c>
      <c r="K41" s="176" t="e">
        <f>SUM(K42:K59)</f>
        <v>#DIV/0!</v>
      </c>
      <c r="L41" s="176" t="e">
        <f>SUM(L42:L59)</f>
        <v>#DIV/0!</v>
      </c>
      <c r="M41" s="176" t="e">
        <f>SUM(M42:M59)</f>
        <v>#DIV/0!</v>
      </c>
      <c r="N41" s="111"/>
    </row>
    <row r="42" spans="1:14" s="28" customFormat="1" ht="30">
      <c r="A42" s="132" t="str">
        <f>+'Κόστος ΥΠΥ'!A19</f>
        <v>1. Υπηρεσία δρομολόγησης κλήσεων εντός του Κινητού  Δικτύου της ΑΤΗΚ</v>
      </c>
      <c r="B42" s="109"/>
      <c r="C42" s="110"/>
      <c r="D42" s="113"/>
      <c r="E42" s="113"/>
      <c r="F42" s="113"/>
      <c r="G42" s="114"/>
      <c r="H42" s="170"/>
      <c r="I42" s="177" t="e">
        <f>+'Κόστος ΥΠΥ'!F19</f>
        <v>#DIV/0!</v>
      </c>
      <c r="J42" s="177" t="e">
        <f>+'Κόστος ΥΠΥ'!G19</f>
        <v>#DIV/0!</v>
      </c>
      <c r="K42" s="177" t="e">
        <f>+'Κόστος ΥΠΥ'!H19</f>
        <v>#DIV/0!</v>
      </c>
      <c r="L42" s="177" t="e">
        <f>+'Κόστος ΥΠΥ'!I19</f>
        <v>#DIV/0!</v>
      </c>
      <c r="M42" s="177" t="e">
        <f>+'Κόστος ΥΠΥ'!J19</f>
        <v>#DIV/0!</v>
      </c>
      <c r="N42" s="141"/>
    </row>
    <row r="43" spans="1:14" s="28" customFormat="1" ht="15">
      <c r="A43" s="132" t="str">
        <f>+'Κόστος ΥΠΥ'!A20</f>
        <v>2. Υπηρεσία έναρξης κλήσεων από το Κινητό  Δίκτυο της ΑΤΗΚ</v>
      </c>
      <c r="B43" s="109"/>
      <c r="C43" s="129"/>
      <c r="D43" s="113"/>
      <c r="E43" s="113"/>
      <c r="F43" s="113"/>
      <c r="G43" s="130"/>
      <c r="H43" s="170"/>
      <c r="I43" s="177" t="e">
        <f>+'Κόστος ΥΠΥ'!F20</f>
        <v>#DIV/0!</v>
      </c>
      <c r="J43" s="177" t="e">
        <f>+'Κόστος ΥΠΥ'!G20</f>
        <v>#DIV/0!</v>
      </c>
      <c r="K43" s="177" t="e">
        <f>+'Κόστος ΥΠΥ'!H20</f>
        <v>#DIV/0!</v>
      </c>
      <c r="L43" s="177" t="e">
        <f>+'Κόστος ΥΠΥ'!I20</f>
        <v>#DIV/0!</v>
      </c>
      <c r="M43" s="177" t="e">
        <f>+'Κόστος ΥΠΥ'!J20</f>
        <v>#DIV/0!</v>
      </c>
      <c r="N43" s="141"/>
    </row>
    <row r="44" spans="1:14" s="28" customFormat="1" ht="15">
      <c r="A44" s="132" t="str">
        <f>+'Κόστος ΥΠΥ'!A21</f>
        <v>3. Υπηρεσία τερματισμού κλήσεων στο Κινητό Δίκτυο της ΑΤΗΚ</v>
      </c>
      <c r="B44" s="109"/>
      <c r="C44" s="129"/>
      <c r="D44" s="113"/>
      <c r="E44" s="113"/>
      <c r="F44" s="113"/>
      <c r="G44" s="130"/>
      <c r="H44" s="170"/>
      <c r="I44" s="177" t="e">
        <f>+'Κόστος ΥΠΥ'!F21</f>
        <v>#DIV/0!</v>
      </c>
      <c r="J44" s="177" t="e">
        <f>+'Κόστος ΥΠΥ'!G21</f>
        <v>#DIV/0!</v>
      </c>
      <c r="K44" s="177" t="e">
        <f>+'Κόστος ΥΠΥ'!H21</f>
        <v>#DIV/0!</v>
      </c>
      <c r="L44" s="177" t="e">
        <f>+'Κόστος ΥΠΥ'!I21</f>
        <v>#DIV/0!</v>
      </c>
      <c r="M44" s="177" t="e">
        <f>+'Κόστος ΥΠΥ'!J21</f>
        <v>#DIV/0!</v>
      </c>
      <c r="N44" s="141"/>
    </row>
    <row r="45" spans="1:14" s="28" customFormat="1" ht="15">
      <c r="A45" s="132" t="str">
        <f>+'Κόστος ΥΠΥ'!A22</f>
        <v>4. Τερματισμός σε Τελικούς Χρήστες του Σταθερού Δικτύου της ΑΤΗΚ </v>
      </c>
      <c r="B45" s="109"/>
      <c r="C45" s="129"/>
      <c r="D45" s="113"/>
      <c r="E45" s="113"/>
      <c r="F45" s="113"/>
      <c r="G45" s="130"/>
      <c r="H45" s="170"/>
      <c r="I45" s="177" t="e">
        <f>+'Κόστος ΥΠΥ'!F22</f>
        <v>#DIV/0!</v>
      </c>
      <c r="J45" s="177" t="e">
        <f>+'Κόστος ΥΠΥ'!G22</f>
        <v>#DIV/0!</v>
      </c>
      <c r="K45" s="177" t="e">
        <f>+'Κόστος ΥΠΥ'!H22</f>
        <v>#DIV/0!</v>
      </c>
      <c r="L45" s="177" t="e">
        <f>+'Κόστος ΥΠΥ'!I22</f>
        <v>#DIV/0!</v>
      </c>
      <c r="M45" s="177" t="e">
        <f>+'Κόστος ΥΠΥ'!J22</f>
        <v>#DIV/0!</v>
      </c>
      <c r="N45" s="141"/>
    </row>
    <row r="46" spans="1:14" s="28" customFormat="1" ht="30">
      <c r="A46" s="132" t="str">
        <f>+'Κόστος ΥΠΥ'!A23</f>
        <v>5. Τερματισμός σε υπηρεσίες πληροφοριών καταλόγου της ΑΤΗΚ 11892</v>
      </c>
      <c r="B46" s="109"/>
      <c r="C46" s="129"/>
      <c r="D46" s="113"/>
      <c r="E46" s="113"/>
      <c r="F46" s="113"/>
      <c r="G46" s="130"/>
      <c r="H46" s="170"/>
      <c r="I46" s="177" t="e">
        <f>+'Κόστος ΥΠΥ'!F23</f>
        <v>#DIV/0!</v>
      </c>
      <c r="J46" s="177" t="e">
        <f>+'Κόστος ΥΠΥ'!G23</f>
        <v>#DIV/0!</v>
      </c>
      <c r="K46" s="177" t="e">
        <f>+'Κόστος ΥΠΥ'!H23</f>
        <v>#DIV/0!</v>
      </c>
      <c r="L46" s="177" t="e">
        <f>+'Κόστος ΥΠΥ'!I23</f>
        <v>#DIV/0!</v>
      </c>
      <c r="M46" s="177" t="e">
        <f>+'Κόστος ΥΠΥ'!J23</f>
        <v>#DIV/0!</v>
      </c>
      <c r="N46" s="141"/>
    </row>
    <row r="47" spans="1:14" s="28" customFormat="1" ht="15">
      <c r="A47" s="132" t="str">
        <f>+'Κόστος ΥΠΥ'!A24</f>
        <v>6. Τερματισμός σε Υπηρεσίες Έκτακτης Ανάγκης 112/199</v>
      </c>
      <c r="B47" s="109"/>
      <c r="C47" s="129"/>
      <c r="D47" s="113"/>
      <c r="E47" s="113"/>
      <c r="F47" s="113"/>
      <c r="G47" s="130"/>
      <c r="H47" s="170"/>
      <c r="I47" s="177" t="e">
        <f>+'Κόστος ΥΠΥ'!F24</f>
        <v>#DIV/0!</v>
      </c>
      <c r="J47" s="177" t="e">
        <f>+'Κόστος ΥΠΥ'!G24</f>
        <v>#DIV/0!</v>
      </c>
      <c r="K47" s="177" t="e">
        <f>+'Κόστος ΥΠΥ'!H24</f>
        <v>#DIV/0!</v>
      </c>
      <c r="L47" s="177" t="e">
        <f>+'Κόστος ΥΠΥ'!I24</f>
        <v>#DIV/0!</v>
      </c>
      <c r="M47" s="177" t="e">
        <f>+'Κόστος ΥΠΥ'!J24</f>
        <v>#DIV/0!</v>
      </c>
      <c r="N47" s="141"/>
    </row>
    <row r="48" spans="1:14" s="28" customFormat="1" ht="30" customHeight="1">
      <c r="A48" s="132" t="str">
        <f>+'Κόστος ΥΠΥ'!A25</f>
        <v>7. Τερματισμός σε Υπηρεσίες τριψήφιων και τετραψήφιων αριθμών (εκτός 1893, 1895)</v>
      </c>
      <c r="B48" s="109"/>
      <c r="C48" s="129"/>
      <c r="D48" s="113"/>
      <c r="E48" s="113"/>
      <c r="F48" s="113"/>
      <c r="G48" s="130"/>
      <c r="H48" s="170"/>
      <c r="I48" s="177" t="e">
        <f>+'Κόστος ΥΠΥ'!F25</f>
        <v>#DIV/0!</v>
      </c>
      <c r="J48" s="177" t="e">
        <f>+'Κόστος ΥΠΥ'!G25</f>
        <v>#DIV/0!</v>
      </c>
      <c r="K48" s="177" t="e">
        <f>+'Κόστος ΥΠΥ'!H25</f>
        <v>#DIV/0!</v>
      </c>
      <c r="L48" s="177" t="e">
        <f>+'Κόστος ΥΠΥ'!I25</f>
        <v>#DIV/0!</v>
      </c>
      <c r="M48" s="177" t="e">
        <f>+'Κόστος ΥΠΥ'!J25</f>
        <v>#DIV/0!</v>
      </c>
      <c r="N48" s="141"/>
    </row>
    <row r="49" spans="1:14" s="28" customFormat="1" ht="15">
      <c r="A49" s="132" t="str">
        <f>+'Κόστος ΥΠΥ'!A26</f>
        <v>8. Τερματισμός σε Υπηρεσίες 1893, 1895</v>
      </c>
      <c r="B49" s="109"/>
      <c r="C49" s="129"/>
      <c r="D49" s="113"/>
      <c r="E49" s="113"/>
      <c r="F49" s="113"/>
      <c r="G49" s="130"/>
      <c r="H49" s="170"/>
      <c r="I49" s="177" t="e">
        <f>+'Κόστος ΥΠΥ'!F26</f>
        <v>#DIV/0!</v>
      </c>
      <c r="J49" s="177" t="e">
        <f>+'Κόστος ΥΠΥ'!G26</f>
        <v>#DIV/0!</v>
      </c>
      <c r="K49" s="177" t="e">
        <f>+'Κόστος ΥΠΥ'!H26</f>
        <v>#DIV/0!</v>
      </c>
      <c r="L49" s="177" t="e">
        <f>+'Κόστος ΥΠΥ'!I26</f>
        <v>#DIV/0!</v>
      </c>
      <c r="M49" s="177" t="e">
        <f>+'Κόστος ΥΠΥ'!J26</f>
        <v>#DIV/0!</v>
      </c>
      <c r="N49" s="141"/>
    </row>
    <row r="50" spans="1:14" s="28" customFormat="1" ht="30">
      <c r="A50" s="132" t="str">
        <f>+'Κόστος ΥΠΥ'!A27</f>
        <v>9. Τερματισμός σε Υπηρεσίες Εθνικών και Διεθνών Ελευθέρων Κλήσεων </v>
      </c>
      <c r="B50" s="109"/>
      <c r="C50" s="129"/>
      <c r="D50" s="113"/>
      <c r="E50" s="113"/>
      <c r="F50" s="113"/>
      <c r="G50" s="130"/>
      <c r="H50" s="170"/>
      <c r="I50" s="177" t="e">
        <f>+'Κόστος ΥΠΥ'!F27</f>
        <v>#DIV/0!</v>
      </c>
      <c r="J50" s="177" t="e">
        <f>+'Κόστος ΥΠΥ'!G27</f>
        <v>#DIV/0!</v>
      </c>
      <c r="K50" s="177" t="e">
        <f>+'Κόστος ΥΠΥ'!H27</f>
        <v>#DIV/0!</v>
      </c>
      <c r="L50" s="177" t="e">
        <f>+'Κόστος ΥΠΥ'!I27</f>
        <v>#DIV/0!</v>
      </c>
      <c r="M50" s="177" t="e">
        <f>+'Κόστος ΥΠΥ'!J27</f>
        <v>#DIV/0!</v>
      </c>
      <c r="N50" s="141"/>
    </row>
    <row r="51" spans="1:14" s="28" customFormat="1" ht="15">
      <c r="A51" s="132" t="str">
        <f>+'Κόστος ΥΠΥ'!A28</f>
        <v>10. Τερματισμός σε Υπηρεσίες Προσωπικού Αριθμού </v>
      </c>
      <c r="B51" s="109"/>
      <c r="C51" s="129"/>
      <c r="D51" s="113"/>
      <c r="E51" s="113"/>
      <c r="F51" s="113"/>
      <c r="G51" s="130"/>
      <c r="H51" s="170"/>
      <c r="I51" s="177" t="e">
        <f>+'Κόστος ΥΠΥ'!F28</f>
        <v>#DIV/0!</v>
      </c>
      <c r="J51" s="177" t="e">
        <f>+'Κόστος ΥΠΥ'!G28</f>
        <v>#DIV/0!</v>
      </c>
      <c r="K51" s="177" t="e">
        <f>+'Κόστος ΥΠΥ'!H28</f>
        <v>#DIV/0!</v>
      </c>
      <c r="L51" s="177" t="e">
        <f>+'Κόστος ΥΠΥ'!I28</f>
        <v>#DIV/0!</v>
      </c>
      <c r="M51" s="177" t="e">
        <f>+'Κόστος ΥΠΥ'!J28</f>
        <v>#DIV/0!</v>
      </c>
      <c r="N51" s="141"/>
    </row>
    <row r="52" spans="1:14" s="28" customFormat="1" ht="15">
      <c r="A52" s="132" t="str">
        <f>+'Κόστος ΥΠΥ'!A29</f>
        <v>11. Τερματισμός σε Υπηρεσίες Υπερτιμημένων κλήσεων </v>
      </c>
      <c r="B52" s="109"/>
      <c r="C52" s="129"/>
      <c r="D52" s="113"/>
      <c r="E52" s="113"/>
      <c r="F52" s="113"/>
      <c r="G52" s="130"/>
      <c r="H52" s="170"/>
      <c r="I52" s="177" t="e">
        <f>+'Κόστος ΥΠΥ'!F29</f>
        <v>#DIV/0!</v>
      </c>
      <c r="J52" s="177" t="e">
        <f>+'Κόστος ΥΠΥ'!G29</f>
        <v>#DIV/0!</v>
      </c>
      <c r="K52" s="177" t="e">
        <f>+'Κόστος ΥΠΥ'!H29</f>
        <v>#DIV/0!</v>
      </c>
      <c r="L52" s="177" t="e">
        <f>+'Κόστος ΥΠΥ'!I29</f>
        <v>#DIV/0!</v>
      </c>
      <c r="M52" s="177" t="e">
        <f>+'Κόστος ΥΠΥ'!J29</f>
        <v>#DIV/0!</v>
      </c>
      <c r="N52" s="141"/>
    </row>
    <row r="53" spans="1:14" s="28" customFormat="1" ht="15">
      <c r="A53" s="132" t="str">
        <f>+'Κόστος ΥΠΥ'!A30</f>
        <v>12. Τερματισμός σε Υπηρεσία Ένας Αριθμός </v>
      </c>
      <c r="B53" s="109"/>
      <c r="C53" s="129"/>
      <c r="D53" s="113"/>
      <c r="E53" s="113"/>
      <c r="F53" s="113"/>
      <c r="G53" s="130"/>
      <c r="H53" s="170"/>
      <c r="I53" s="177" t="e">
        <f>+'Κόστος ΥΠΥ'!F30</f>
        <v>#DIV/0!</v>
      </c>
      <c r="J53" s="177" t="e">
        <f>+'Κόστος ΥΠΥ'!G30</f>
        <v>#DIV/0!</v>
      </c>
      <c r="K53" s="177" t="e">
        <f>+'Κόστος ΥΠΥ'!H30</f>
        <v>#DIV/0!</v>
      </c>
      <c r="L53" s="177" t="e">
        <f>+'Κόστος ΥΠΥ'!I30</f>
        <v>#DIV/0!</v>
      </c>
      <c r="M53" s="177" t="e">
        <f>+'Κόστος ΥΠΥ'!J30</f>
        <v>#DIV/0!</v>
      </c>
      <c r="N53" s="141"/>
    </row>
    <row r="54" spans="1:14" s="28" customFormat="1" ht="30">
      <c r="A54" s="132" t="str">
        <f>+'Κόστος ΥΠΥ'!A31</f>
        <v>13. Υπηρεσία δρομολόγησης κλήσεων που τερματίζονται σε Δίκτυα άλλων παροχέων συνδεδεμένα με Κιν. ΑΤΗΚ </v>
      </c>
      <c r="B54" s="109"/>
      <c r="C54" s="129"/>
      <c r="D54" s="113"/>
      <c r="E54" s="113"/>
      <c r="F54" s="113"/>
      <c r="G54" s="130"/>
      <c r="H54" s="170"/>
      <c r="I54" s="177">
        <f>+'Κόστος ΥΠΥ'!F31</f>
        <v>0</v>
      </c>
      <c r="J54" s="177">
        <f>+'Κόστος ΥΠΥ'!G31</f>
        <v>0</v>
      </c>
      <c r="K54" s="177">
        <f>+'Κόστος ΥΠΥ'!H31</f>
        <v>0</v>
      </c>
      <c r="L54" s="177">
        <f>+'Κόστος ΥΠΥ'!I31</f>
        <v>0</v>
      </c>
      <c r="M54" s="177">
        <f>+'Κόστος ΥΠΥ'!J31</f>
        <v>0</v>
      </c>
      <c r="N54" s="141"/>
    </row>
    <row r="55" spans="1:14" s="28" customFormat="1" ht="45">
      <c r="A55" s="132" t="str">
        <f>+'Κόστος ΥΠΥ'!A32</f>
        <v>14. Υπηρεσία δρομολόγησης κλήσεων που που διαβιβάζονται για τερματισμό σε Δίκτυα άλλων παροχέων σε εθνικό επίπεδο μέσω του Σταθερού Δικτύου της ΑΤΗΚ </v>
      </c>
      <c r="B55" s="109"/>
      <c r="C55" s="129"/>
      <c r="D55" s="113"/>
      <c r="E55" s="113"/>
      <c r="F55" s="113"/>
      <c r="G55" s="130"/>
      <c r="H55" s="170"/>
      <c r="I55" s="177">
        <f>+'Κόστος ΥΠΥ'!F32</f>
        <v>0</v>
      </c>
      <c r="J55" s="177">
        <f>+'Κόστος ΥΠΥ'!G32</f>
        <v>0</v>
      </c>
      <c r="K55" s="177">
        <f>+'Κόστος ΥΠΥ'!H32</f>
        <v>0</v>
      </c>
      <c r="L55" s="177">
        <f>+'Κόστος ΥΠΥ'!I32</f>
        <v>0</v>
      </c>
      <c r="M55" s="177">
        <f>+'Κόστος ΥΠΥ'!J32</f>
        <v>0</v>
      </c>
      <c r="N55" s="141"/>
    </row>
    <row r="56" spans="1:14" s="28" customFormat="1" ht="30">
      <c r="A56" s="132" t="str">
        <f>+'Κόστος ΥΠΥ'!A33</f>
        <v>15. Υπηρεσία δρομολόγησης διεθνούς κίνησης μέσω του Σταθερού Δικτύου της ΑΤΗΚ</v>
      </c>
      <c r="B56" s="109"/>
      <c r="C56" s="129"/>
      <c r="D56" s="113"/>
      <c r="E56" s="113"/>
      <c r="F56" s="113"/>
      <c r="G56" s="130"/>
      <c r="H56" s="170"/>
      <c r="I56" s="177">
        <f>+'Κόστος ΥΠΥ'!F33</f>
        <v>0</v>
      </c>
      <c r="J56" s="177">
        <f>+'Κόστος ΥΠΥ'!G33</f>
        <v>0</v>
      </c>
      <c r="K56" s="177">
        <f>+'Κόστος ΥΠΥ'!H33</f>
        <v>0</v>
      </c>
      <c r="L56" s="177">
        <f>+'Κόστος ΥΠΥ'!I33</f>
        <v>0</v>
      </c>
      <c r="M56" s="177">
        <f>+'Κόστος ΥΠΥ'!J33</f>
        <v>0</v>
      </c>
      <c r="N56" s="141"/>
    </row>
    <row r="57" spans="1:14" s="28" customFormat="1" ht="30">
      <c r="A57" s="132" t="str">
        <f>+'Κόστος ΥΠΥ'!A34</f>
        <v>16. Υπηρεσία διερεύνησης δρομολόγησης κλήσεων μέσω του Κινητού Δικτύου της ΑΤΗΚ</v>
      </c>
      <c r="B57" s="109"/>
      <c r="C57" s="129"/>
      <c r="D57" s="113"/>
      <c r="E57" s="113"/>
      <c r="F57" s="113"/>
      <c r="G57" s="130"/>
      <c r="H57" s="170"/>
      <c r="I57" s="177">
        <f>+'Κόστος ΥΠΥ'!F34</f>
        <v>0</v>
      </c>
      <c r="J57" s="177">
        <f>+'Κόστος ΥΠΥ'!G34</f>
        <v>0</v>
      </c>
      <c r="K57" s="177">
        <f>+'Κόστος ΥΠΥ'!H34</f>
        <v>0</v>
      </c>
      <c r="L57" s="177">
        <f>+'Κόστος ΥΠΥ'!I34</f>
        <v>0</v>
      </c>
      <c r="M57" s="177">
        <f>+'Κόστος ΥΠΥ'!J34</f>
        <v>0</v>
      </c>
      <c r="N57" s="141"/>
    </row>
    <row r="58" spans="1:14" s="28" customFormat="1" ht="15">
      <c r="A58" s="132" t="str">
        <f>+'Κόστος ΥΠΥ'!A35</f>
        <v>17. Υπηρεσίες εθνικών βιντεο-κλήσεων</v>
      </c>
      <c r="B58" s="109"/>
      <c r="C58" s="129"/>
      <c r="D58" s="113"/>
      <c r="E58" s="113"/>
      <c r="F58" s="113"/>
      <c r="G58" s="130"/>
      <c r="H58" s="170"/>
      <c r="I58" s="177">
        <f>+'Κόστος ΥΠΥ'!F35</f>
        <v>0</v>
      </c>
      <c r="J58" s="177">
        <f>+'Κόστος ΥΠΥ'!G35</f>
        <v>0</v>
      </c>
      <c r="K58" s="177">
        <f>+'Κόστος ΥΠΥ'!H35</f>
        <v>0</v>
      </c>
      <c r="L58" s="177">
        <f>+'Κόστος ΥΠΥ'!I35</f>
        <v>0</v>
      </c>
      <c r="M58" s="177">
        <f>+'Κόστος ΥΠΥ'!J35</f>
        <v>0</v>
      </c>
      <c r="N58" s="141"/>
    </row>
    <row r="59" spans="1:14" s="28" customFormat="1" ht="15">
      <c r="A59" s="132" t="str">
        <f>+'Κόστος ΥΠΥ'!A36</f>
        <v>18. Υπηρεσίες διεθνών βιντεο-κλήσεων</v>
      </c>
      <c r="B59" s="109"/>
      <c r="C59" s="110"/>
      <c r="D59" s="113"/>
      <c r="E59" s="113"/>
      <c r="F59" s="113"/>
      <c r="G59" s="114"/>
      <c r="H59" s="170"/>
      <c r="I59" s="177">
        <f>+'Κόστος ΥΠΥ'!F36</f>
        <v>0</v>
      </c>
      <c r="J59" s="177">
        <f>+'Κόστος ΥΠΥ'!G36</f>
        <v>0</v>
      </c>
      <c r="K59" s="177">
        <f>+'Κόστος ΥΠΥ'!H36</f>
        <v>0</v>
      </c>
      <c r="L59" s="177">
        <f>+'Κόστος ΥΠΥ'!I36</f>
        <v>0</v>
      </c>
      <c r="M59" s="177">
        <f>+'Κόστος ΥΠΥ'!J36</f>
        <v>0</v>
      </c>
      <c r="N59" s="141"/>
    </row>
    <row r="60" spans="1:14" s="28" customFormat="1" ht="15">
      <c r="A60" s="29" t="s">
        <v>111</v>
      </c>
      <c r="B60" s="111"/>
      <c r="C60" s="112"/>
      <c r="D60" s="111"/>
      <c r="E60" s="111"/>
      <c r="F60" s="111"/>
      <c r="G60" s="112"/>
      <c r="H60" s="176"/>
      <c r="I60" s="176" t="e">
        <f>SUM(I61:I64)</f>
        <v>#DIV/0!</v>
      </c>
      <c r="J60" s="176" t="e">
        <f>SUM(J61:J64)</f>
        <v>#DIV/0!</v>
      </c>
      <c r="K60" s="176" t="e">
        <f>SUM(K61:K64)</f>
        <v>#DIV/0!</v>
      </c>
      <c r="L60" s="176" t="e">
        <f>SUM(L61:L64)</f>
        <v>#DIV/0!</v>
      </c>
      <c r="M60" s="176" t="e">
        <f>SUM(M61:M64)</f>
        <v>#DIV/0!</v>
      </c>
      <c r="N60" s="111"/>
    </row>
    <row r="61" spans="1:14" s="28" customFormat="1" ht="30">
      <c r="A61" s="132" t="str">
        <f>+'Κόστος ΥΠΥ'!A38</f>
        <v>1. Αποστολή SMS από τους Τελικούς Χρήστες του Δικαιούχου (mobile originated)</v>
      </c>
      <c r="B61" s="109"/>
      <c r="C61" s="110"/>
      <c r="D61" s="113"/>
      <c r="E61" s="113"/>
      <c r="F61" s="113"/>
      <c r="G61" s="114"/>
      <c r="H61" s="170"/>
      <c r="I61" s="177">
        <f>+'Κόστος ΥΠΥ'!F38</f>
        <v>0</v>
      </c>
      <c r="J61" s="177">
        <f>+'Κόστος ΥΠΥ'!G38</f>
        <v>0</v>
      </c>
      <c r="K61" s="177">
        <f>+'Κόστος ΥΠΥ'!H38</f>
        <v>0</v>
      </c>
      <c r="L61" s="177">
        <f>+'Κόστος ΥΠΥ'!I38</f>
        <v>0</v>
      </c>
      <c r="M61" s="177">
        <f>+'Κόστος ΥΠΥ'!J38</f>
        <v>0</v>
      </c>
      <c r="N61" s="141"/>
    </row>
    <row r="62" spans="1:14" s="28" customFormat="1" ht="30">
      <c r="A62" s="132" t="str">
        <f>+'Κόστος ΥΠΥ'!A39</f>
        <v>2. Tερματισμός SMS από τους Τελικούς Χρήστες του Δικαιούχου σε ΑΤΗΚ</v>
      </c>
      <c r="B62" s="109"/>
      <c r="C62" s="129"/>
      <c r="D62" s="113"/>
      <c r="E62" s="113"/>
      <c r="F62" s="113"/>
      <c r="G62" s="130"/>
      <c r="H62" s="170"/>
      <c r="I62" s="177" t="e">
        <f>+'Κόστος ΥΠΥ'!F39</f>
        <v>#DIV/0!</v>
      </c>
      <c r="J62" s="177" t="e">
        <f>+'Κόστος ΥΠΥ'!G39</f>
        <v>#DIV/0!</v>
      </c>
      <c r="K62" s="177" t="e">
        <f>+'Κόστος ΥΠΥ'!H39</f>
        <v>#DIV/0!</v>
      </c>
      <c r="L62" s="177" t="e">
        <f>+'Κόστος ΥΠΥ'!I39</f>
        <v>#DIV/0!</v>
      </c>
      <c r="M62" s="177" t="e">
        <f>+'Κόστος ΥΠΥ'!J39</f>
        <v>#DIV/0!</v>
      </c>
      <c r="N62" s="141"/>
    </row>
    <row r="63" spans="1:14" s="28" customFormat="1" ht="30">
      <c r="A63" s="132" t="str">
        <f>+'Κόστος ΥΠΥ'!A40</f>
        <v>3. Τερματισμό SMS από τους Τελικούς Χρήστες του Δικαιούχου σε άλλους παροχείς</v>
      </c>
      <c r="B63" s="109"/>
      <c r="C63" s="110"/>
      <c r="D63" s="113"/>
      <c r="E63" s="113"/>
      <c r="F63" s="113"/>
      <c r="G63" s="114"/>
      <c r="H63" s="170"/>
      <c r="I63" s="177">
        <f>+'Κόστος ΥΠΥ'!F40</f>
        <v>0</v>
      </c>
      <c r="J63" s="177">
        <f>+'Κόστος ΥΠΥ'!G40</f>
        <v>0</v>
      </c>
      <c r="K63" s="177">
        <f>+'Κόστος ΥΠΥ'!H40</f>
        <v>0</v>
      </c>
      <c r="L63" s="177">
        <f>+'Κόστος ΥΠΥ'!I40</f>
        <v>0</v>
      </c>
      <c r="M63" s="177">
        <f>+'Κόστος ΥΠΥ'!J40</f>
        <v>0</v>
      </c>
      <c r="N63" s="141"/>
    </row>
    <row r="64" spans="1:14" s="28" customFormat="1" ht="30">
      <c r="A64" s="132" t="str">
        <f>+'Κόστος ΥΠΥ'!A41</f>
        <v>4. Τερματισμό SMS σε Τελικούς Χρήστες του Δικαιούχου (πλην αυτών από ΑΤΗΚ) </v>
      </c>
      <c r="B64" s="109"/>
      <c r="C64" s="110"/>
      <c r="D64" s="109"/>
      <c r="E64" s="109"/>
      <c r="F64" s="109"/>
      <c r="G64" s="110"/>
      <c r="H64" s="178"/>
      <c r="I64" s="177" t="e">
        <f>+'Κόστος ΥΠΥ'!F41</f>
        <v>#DIV/0!</v>
      </c>
      <c r="J64" s="177" t="e">
        <f>+'Κόστος ΥΠΥ'!G41</f>
        <v>#DIV/0!</v>
      </c>
      <c r="K64" s="177" t="e">
        <f>+'Κόστος ΥΠΥ'!H41</f>
        <v>#DIV/0!</v>
      </c>
      <c r="L64" s="177" t="e">
        <f>+'Κόστος ΥΠΥ'!I41</f>
        <v>#DIV/0!</v>
      </c>
      <c r="M64" s="177" t="e">
        <f>+'Κόστος ΥΠΥ'!J41</f>
        <v>#DIV/0!</v>
      </c>
      <c r="N64" s="141"/>
    </row>
    <row r="65" spans="1:14" ht="15">
      <c r="A65" s="29" t="s">
        <v>112</v>
      </c>
      <c r="B65" s="115"/>
      <c r="C65" s="116"/>
      <c r="D65" s="115"/>
      <c r="E65" s="115"/>
      <c r="F65" s="115"/>
      <c r="G65" s="116"/>
      <c r="H65" s="179"/>
      <c r="I65" s="179" t="e">
        <f>SUM(I66)</f>
        <v>#DIV/0!</v>
      </c>
      <c r="J65" s="179" t="e">
        <f>SUM(J66)</f>
        <v>#DIV/0!</v>
      </c>
      <c r="K65" s="179" t="e">
        <f>SUM(K66)</f>
        <v>#DIV/0!</v>
      </c>
      <c r="L65" s="179" t="e">
        <f>SUM(L66)</f>
        <v>#DIV/0!</v>
      </c>
      <c r="M65" s="179" t="e">
        <f>SUM(M66)</f>
        <v>#DIV/0!</v>
      </c>
      <c r="N65" s="115"/>
    </row>
    <row r="66" spans="1:14" ht="30">
      <c r="A66" s="132" t="str">
        <f>+'Κόστος ΥΠΥ'!A43</f>
        <v>1. Τέλη υπηρεσιών μηνυμάτων πολυμεσών (MMS)και τέλη υπηρεσιών GPRS</v>
      </c>
      <c r="B66" s="117"/>
      <c r="C66" s="87"/>
      <c r="D66" s="117"/>
      <c r="E66" s="117"/>
      <c r="F66" s="117"/>
      <c r="G66" s="87"/>
      <c r="H66" s="173"/>
      <c r="I66" s="177" t="e">
        <f>+'Κόστος ΥΠΥ'!F43</f>
        <v>#DIV/0!</v>
      </c>
      <c r="J66" s="177" t="e">
        <f>+'Κόστος ΥΠΥ'!G43</f>
        <v>#DIV/0!</v>
      </c>
      <c r="K66" s="177" t="e">
        <f>+'Κόστος ΥΠΥ'!H43</f>
        <v>#DIV/0!</v>
      </c>
      <c r="L66" s="177" t="e">
        <f>+'Κόστος ΥΠΥ'!I43</f>
        <v>#DIV/0!</v>
      </c>
      <c r="M66" s="177" t="e">
        <f>+'Κόστος ΥΠΥ'!J43</f>
        <v>#DIV/0!</v>
      </c>
      <c r="N66" s="141"/>
    </row>
    <row r="67" spans="7:13" ht="6.75" customHeight="1">
      <c r="G67" s="14"/>
      <c r="H67" s="180"/>
      <c r="I67" s="180"/>
      <c r="J67" s="180"/>
      <c r="K67" s="180"/>
      <c r="L67" s="180"/>
      <c r="M67" s="180"/>
    </row>
    <row r="68" spans="1:14" ht="15">
      <c r="A68" s="12" t="s">
        <v>8</v>
      </c>
      <c r="C68"/>
      <c r="D68" s="128"/>
      <c r="E68" s="128"/>
      <c r="H68" s="181" t="e">
        <f>+H4</f>
        <v>#DIV/0!</v>
      </c>
      <c r="I68" s="181" t="e">
        <f>+I17+I4+I34</f>
        <v>#DIV/0!</v>
      </c>
      <c r="J68" s="181" t="e">
        <f>+J17+J4+J34</f>
        <v>#DIV/0!</v>
      </c>
      <c r="K68" s="181" t="e">
        <f>+K17+K4+K34</f>
        <v>#DIV/0!</v>
      </c>
      <c r="L68" s="181" t="e">
        <f>+L17+L4+L34</f>
        <v>#DIV/0!</v>
      </c>
      <c r="M68" s="181" t="e">
        <f>+M17+M4+M34</f>
        <v>#DIV/0!</v>
      </c>
      <c r="N68" s="13"/>
    </row>
    <row r="69" spans="3:4" ht="9" customHeight="1">
      <c r="C69"/>
      <c r="D69" s="128"/>
    </row>
    <row r="70" spans="1:14" ht="15">
      <c r="A70" s="15" t="s">
        <v>9</v>
      </c>
      <c r="B70"/>
      <c r="C70"/>
      <c r="D70" s="128"/>
      <c r="I70" s="16">
        <v>0.14</v>
      </c>
      <c r="J70" s="16">
        <f>+I70/1.01</f>
        <v>0.13861386138613863</v>
      </c>
      <c r="K70" s="16">
        <f>+J70/1.01</f>
        <v>0.13724144691696893</v>
      </c>
      <c r="L70" s="16">
        <f>+K70/1.01</f>
        <v>0.13588262070987023</v>
      </c>
      <c r="M70" s="16">
        <f>+L70/1.01</f>
        <v>0.13453724822759427</v>
      </c>
      <c r="N70" s="16"/>
    </row>
    <row r="71" spans="1:14" ht="15">
      <c r="A71" s="15" t="s">
        <v>10</v>
      </c>
      <c r="B71"/>
      <c r="C71"/>
      <c r="D71" s="128"/>
      <c r="I71" s="16">
        <v>0.03</v>
      </c>
      <c r="J71" s="16">
        <v>0.05</v>
      </c>
      <c r="K71" s="16">
        <v>0.04</v>
      </c>
      <c r="L71" s="16">
        <v>0.03</v>
      </c>
      <c r="M71" s="16">
        <v>0.03</v>
      </c>
      <c r="N71" s="16"/>
    </row>
    <row r="72" spans="1:9" ht="15">
      <c r="A72" s="15" t="s">
        <v>11</v>
      </c>
      <c r="B72"/>
      <c r="C72"/>
      <c r="D72" s="128"/>
      <c r="I72" s="16">
        <v>0.065</v>
      </c>
    </row>
    <row r="73" ht="7.5" customHeight="1"/>
    <row r="74" spans="1:14" ht="15">
      <c r="A74" s="17" t="s">
        <v>12</v>
      </c>
      <c r="I74" s="18" t="e">
        <f>+I4*I70</f>
        <v>#DIV/0!</v>
      </c>
      <c r="J74" s="18" t="e">
        <f>+J4*J70</f>
        <v>#DIV/0!</v>
      </c>
      <c r="K74" s="18" t="e">
        <f>+K4*K70</f>
        <v>#DIV/0!</v>
      </c>
      <c r="L74" s="18" t="e">
        <f>+L4*L70</f>
        <v>#DIV/0!</v>
      </c>
      <c r="M74" s="18" t="e">
        <f>+M4*M70</f>
        <v>#DIV/0!</v>
      </c>
      <c r="N74" s="18"/>
    </row>
    <row r="75" spans="1:14" ht="15">
      <c r="A75" s="17" t="s">
        <v>13</v>
      </c>
      <c r="I75" s="18" t="e">
        <f>+I17</f>
        <v>#DIV/0!</v>
      </c>
      <c r="J75" s="18" t="e">
        <f>+J17</f>
        <v>#DIV/0!</v>
      </c>
      <c r="K75" s="18" t="e">
        <f>+K17</f>
        <v>#DIV/0!</v>
      </c>
      <c r="L75" s="18" t="e">
        <f>+L17</f>
        <v>#DIV/0!</v>
      </c>
      <c r="M75" s="18" t="e">
        <f>+M17</f>
        <v>#DIV/0!</v>
      </c>
      <c r="N75" s="18"/>
    </row>
    <row r="76" spans="1:14" ht="15">
      <c r="A76" s="17" t="s">
        <v>79</v>
      </c>
      <c r="I76" s="18" t="e">
        <f>I34</f>
        <v>#DIV/0!</v>
      </c>
      <c r="J76" s="18" t="e">
        <f>J34</f>
        <v>#DIV/0!</v>
      </c>
      <c r="K76" s="18" t="e">
        <f>K34</f>
        <v>#DIV/0!</v>
      </c>
      <c r="L76" s="18" t="e">
        <f>L34</f>
        <v>#DIV/0!</v>
      </c>
      <c r="M76" s="18" t="e">
        <f>M34</f>
        <v>#DIV/0!</v>
      </c>
      <c r="N76" s="18"/>
    </row>
    <row r="77" spans="1:14" ht="15">
      <c r="A77" s="17" t="s">
        <v>14</v>
      </c>
      <c r="H77" s="11"/>
      <c r="I77" s="18" t="e">
        <f aca="true" t="shared" si="8" ref="I77:M78">+I75+I74+I76</f>
        <v>#DIV/0!</v>
      </c>
      <c r="J77" s="18" t="e">
        <f t="shared" si="8"/>
        <v>#DIV/0!</v>
      </c>
      <c r="K77" s="18" t="e">
        <f t="shared" si="8"/>
        <v>#DIV/0!</v>
      </c>
      <c r="L77" s="18" t="e">
        <f t="shared" si="8"/>
        <v>#DIV/0!</v>
      </c>
      <c r="M77" s="18" t="e">
        <f t="shared" si="8"/>
        <v>#DIV/0!</v>
      </c>
      <c r="N77" s="18"/>
    </row>
    <row r="78" spans="1:14" s="128" customFormat="1" ht="15">
      <c r="A78" s="17" t="s">
        <v>14</v>
      </c>
      <c r="B78" s="11"/>
      <c r="C78" s="14"/>
      <c r="D78" s="14"/>
      <c r="H78" s="11"/>
      <c r="I78" s="18" t="e">
        <f t="shared" si="8"/>
        <v>#DIV/0!</v>
      </c>
      <c r="J78" s="18" t="e">
        <f t="shared" si="8"/>
        <v>#DIV/0!</v>
      </c>
      <c r="K78" s="18" t="e">
        <f t="shared" si="8"/>
        <v>#DIV/0!</v>
      </c>
      <c r="L78" s="18" t="e">
        <f t="shared" si="8"/>
        <v>#DIV/0!</v>
      </c>
      <c r="M78" s="18" t="e">
        <f t="shared" si="8"/>
        <v>#DIV/0!</v>
      </c>
      <c r="N78" s="18"/>
    </row>
    <row r="79" ht="11.25" customHeight="1" thickBot="1"/>
    <row r="80" spans="1:9" ht="15">
      <c r="A80" s="19" t="s">
        <v>15</v>
      </c>
      <c r="I80" s="21" t="e">
        <f>NPV(I72,I77,J77,K77,L77,M77)</f>
        <v>#DIV/0!</v>
      </c>
    </row>
    <row r="81" spans="1:9" ht="15.75" thickBot="1">
      <c r="A81" s="19" t="s">
        <v>16</v>
      </c>
      <c r="I81" s="22" t="e">
        <f>+I80/5</f>
        <v>#DIV/0!</v>
      </c>
    </row>
  </sheetData>
  <sheetProtection/>
  <mergeCells count="11">
    <mergeCell ref="F2:F3"/>
    <mergeCell ref="A1:N1"/>
    <mergeCell ref="I2:M2"/>
    <mergeCell ref="N2:N3"/>
    <mergeCell ref="H2:H3"/>
    <mergeCell ref="A2:A3"/>
    <mergeCell ref="B2:B3"/>
    <mergeCell ref="C2:C3"/>
    <mergeCell ref="E2:E3"/>
    <mergeCell ref="G2:G3"/>
    <mergeCell ref="D2:D3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="60" zoomScaleNormal="60" zoomScalePageLayoutView="0" workbookViewId="0" topLeftCell="A1">
      <selection activeCell="N22" sqref="N22"/>
    </sheetView>
  </sheetViews>
  <sheetFormatPr defaultColWidth="9.140625" defaultRowHeight="15"/>
  <cols>
    <col min="1" max="1" width="72.28125" style="0" customWidth="1"/>
    <col min="2" max="2" width="13.57421875" style="27" bestFit="1" customWidth="1"/>
    <col min="3" max="3" width="13.57421875" style="27" customWidth="1"/>
    <col min="4" max="4" width="9.28125" style="27" customWidth="1"/>
    <col min="5" max="5" width="9.57421875" style="27" customWidth="1"/>
    <col min="6" max="10" width="15.00390625" style="0" customWidth="1"/>
    <col min="11" max="11" width="28.00390625" style="128" customWidth="1"/>
  </cols>
  <sheetData>
    <row r="1" spans="1:11" ht="21">
      <c r="A1" s="218" t="s">
        <v>147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30">
      <c r="A2" s="210"/>
      <c r="B2" s="219" t="s">
        <v>93</v>
      </c>
      <c r="C2" s="219" t="s">
        <v>94</v>
      </c>
      <c r="D2" s="219" t="s">
        <v>150</v>
      </c>
      <c r="E2" s="216" t="s">
        <v>149</v>
      </c>
      <c r="F2" s="8" t="s">
        <v>1</v>
      </c>
      <c r="G2" s="8" t="s">
        <v>1</v>
      </c>
      <c r="H2" s="8" t="s">
        <v>1</v>
      </c>
      <c r="I2" s="8" t="s">
        <v>1</v>
      </c>
      <c r="J2" s="8" t="s">
        <v>1</v>
      </c>
      <c r="K2" s="210" t="s">
        <v>85</v>
      </c>
    </row>
    <row r="3" spans="1:11" ht="15">
      <c r="A3" s="211"/>
      <c r="B3" s="219"/>
      <c r="C3" s="219"/>
      <c r="D3" s="219"/>
      <c r="E3" s="217"/>
      <c r="F3" s="8">
        <v>2011</v>
      </c>
      <c r="G3" s="8">
        <v>2012</v>
      </c>
      <c r="H3" s="8">
        <v>2013</v>
      </c>
      <c r="I3" s="8">
        <v>2014</v>
      </c>
      <c r="J3" s="8">
        <v>2015</v>
      </c>
      <c r="K3" s="211"/>
    </row>
    <row r="4" spans="1:11" ht="15">
      <c r="A4" s="10" t="s">
        <v>104</v>
      </c>
      <c r="B4" s="85"/>
      <c r="C4" s="85"/>
      <c r="D4" s="85"/>
      <c r="E4" s="85"/>
      <c r="F4" s="86"/>
      <c r="G4" s="86"/>
      <c r="H4" s="86"/>
      <c r="I4" s="86"/>
      <c r="J4" s="86"/>
      <c r="K4" s="86"/>
    </row>
    <row r="5" spans="1:11" ht="15">
      <c r="A5" s="72" t="str">
        <f>+'Traffic MVNO'!A5</f>
        <v>Number of subs</v>
      </c>
      <c r="B5" s="87"/>
      <c r="C5" s="87"/>
      <c r="D5" s="87"/>
      <c r="E5" s="131"/>
      <c r="F5" s="88">
        <f>+'Traffic MVNO'!N5</f>
        <v>0</v>
      </c>
      <c r="G5" s="88">
        <f>+'Traffic MVNO'!N16</f>
        <v>0</v>
      </c>
      <c r="H5" s="88">
        <f>+'Traffic MVNO'!N27</f>
        <v>0</v>
      </c>
      <c r="I5" s="88">
        <f>+'Traffic MVNO'!N38</f>
        <v>0</v>
      </c>
      <c r="J5" s="88">
        <f>+'Traffic MVNO'!N49</f>
        <v>0</v>
      </c>
      <c r="K5" s="88"/>
    </row>
    <row r="6" spans="1:11" ht="15">
      <c r="A6" s="72" t="str">
        <f>+'Traffic MVNO'!A6</f>
        <v>Number of subs using data</v>
      </c>
      <c r="B6" s="87"/>
      <c r="C6" s="87"/>
      <c r="D6" s="87"/>
      <c r="E6" s="131"/>
      <c r="F6" s="88">
        <f>+'Traffic MVNO'!N6</f>
        <v>0</v>
      </c>
      <c r="G6" s="88">
        <f>+'Traffic MVNO'!N17</f>
        <v>0</v>
      </c>
      <c r="H6" s="88">
        <f>+'Traffic MVNO'!N28</f>
        <v>0</v>
      </c>
      <c r="I6" s="88">
        <f>+'Traffic MVNO'!N39</f>
        <v>0</v>
      </c>
      <c r="J6" s="88">
        <f>+'Traffic MVNO'!N50</f>
        <v>0</v>
      </c>
      <c r="K6" s="88"/>
    </row>
    <row r="7" spans="1:11" ht="15">
      <c r="A7" s="72" t="str">
        <f>+'Traffic MVNO'!A7</f>
        <v>Total outgoing Minutes</v>
      </c>
      <c r="B7" s="87"/>
      <c r="C7" s="87"/>
      <c r="D7" s="87"/>
      <c r="E7" s="131"/>
      <c r="F7" s="88">
        <f>+'Traffic MVNO'!N7</f>
        <v>0</v>
      </c>
      <c r="G7" s="88">
        <f>+'Traffic MVNO'!N18</f>
        <v>0</v>
      </c>
      <c r="H7" s="88">
        <f>+'Traffic MVNO'!N29</f>
        <v>0</v>
      </c>
      <c r="I7" s="88">
        <f>+'Traffic MVNO'!N40</f>
        <v>0</v>
      </c>
      <c r="J7" s="88">
        <f>+'Traffic MVNO'!N51</f>
        <v>0</v>
      </c>
      <c r="K7" s="88"/>
    </row>
    <row r="8" spans="1:11" ht="15">
      <c r="A8" s="72" t="str">
        <f>+'Traffic MVNO'!A8</f>
        <v>Total incoming Minutes</v>
      </c>
      <c r="B8" s="87"/>
      <c r="C8" s="87"/>
      <c r="D8" s="87"/>
      <c r="E8" s="131"/>
      <c r="F8" s="88">
        <f>+'Traffic MVNO'!N8</f>
        <v>0</v>
      </c>
      <c r="G8" s="88">
        <f>+'Traffic MVNO'!N19</f>
        <v>0</v>
      </c>
      <c r="H8" s="88">
        <f>+'Traffic MVNO'!N30</f>
        <v>0</v>
      </c>
      <c r="I8" s="88">
        <f>+'Traffic MVNO'!N41</f>
        <v>0</v>
      </c>
      <c r="J8" s="88">
        <f>+'Traffic MVNO'!N52</f>
        <v>0</v>
      </c>
      <c r="K8" s="88"/>
    </row>
    <row r="9" spans="1:11" ht="15">
      <c r="A9" s="72" t="str">
        <f>+'Traffic MVNO'!A9</f>
        <v>Total number of outgoing SMS</v>
      </c>
      <c r="B9" s="87"/>
      <c r="C9" s="87"/>
      <c r="D9" s="87"/>
      <c r="E9" s="131"/>
      <c r="F9" s="88">
        <f>+'Traffic MVNO'!N9</f>
        <v>0</v>
      </c>
      <c r="G9" s="88">
        <f>+'Traffic MVNO'!N20</f>
        <v>0</v>
      </c>
      <c r="H9" s="88">
        <f>+'Traffic MVNO'!N31</f>
        <v>0</v>
      </c>
      <c r="I9" s="88">
        <f>+'Traffic MVNO'!N42</f>
        <v>0</v>
      </c>
      <c r="J9" s="88">
        <f>+'Traffic MVNO'!N53</f>
        <v>0</v>
      </c>
      <c r="K9" s="88"/>
    </row>
    <row r="10" spans="1:11" ht="15">
      <c r="A10" s="72" t="str">
        <f>+'Traffic MVNO'!A10</f>
        <v>Total number of incoming SMS</v>
      </c>
      <c r="B10" s="87"/>
      <c r="C10" s="126"/>
      <c r="D10" s="87"/>
      <c r="E10" s="131"/>
      <c r="F10" s="88">
        <f>+'Traffic MVNO'!N10</f>
        <v>0</v>
      </c>
      <c r="G10" s="88">
        <f>+'Traffic MVNO'!N21</f>
        <v>0</v>
      </c>
      <c r="H10" s="88">
        <f>+'Traffic MVNO'!N32</f>
        <v>0</v>
      </c>
      <c r="I10" s="88">
        <f>+'Traffic MVNO'!N43</f>
        <v>0</v>
      </c>
      <c r="J10" s="88">
        <f>+'Traffic MVNO'!N54</f>
        <v>0</v>
      </c>
      <c r="K10" s="88"/>
    </row>
    <row r="11" spans="1:11" ht="15">
      <c r="A11" s="72" t="str">
        <f>+'Traffic MVNO'!A11</f>
        <v>Tonal number of MB </v>
      </c>
      <c r="B11" s="87"/>
      <c r="C11" s="87"/>
      <c r="D11" s="87"/>
      <c r="E11" s="131"/>
      <c r="F11" s="88">
        <f>+'Traffic MVNO'!N11</f>
        <v>0</v>
      </c>
      <c r="G11" s="88">
        <f>+'Traffic MVNO'!N22</f>
        <v>0</v>
      </c>
      <c r="H11" s="88">
        <f>+'Traffic MVNO'!N33</f>
        <v>0</v>
      </c>
      <c r="I11" s="88">
        <f>+'Traffic MVNO'!N44</f>
        <v>0</v>
      </c>
      <c r="J11" s="88">
        <f>+'Traffic MVNO'!N55</f>
        <v>0</v>
      </c>
      <c r="K11" s="88"/>
    </row>
    <row r="12" spans="1:11" ht="15">
      <c r="A12" s="10" t="s">
        <v>105</v>
      </c>
      <c r="B12" s="85"/>
      <c r="C12" s="85"/>
      <c r="D12" s="85"/>
      <c r="E12" s="85"/>
      <c r="F12" s="86"/>
      <c r="G12" s="86"/>
      <c r="H12" s="86"/>
      <c r="I12" s="86"/>
      <c r="J12" s="86"/>
      <c r="K12" s="86"/>
    </row>
    <row r="13" spans="1:11" ht="15">
      <c r="A13" s="72" t="s">
        <v>114</v>
      </c>
      <c r="B13" s="136">
        <v>30475.67</v>
      </c>
      <c r="C13" s="136">
        <v>0</v>
      </c>
      <c r="D13" s="121">
        <v>0</v>
      </c>
      <c r="E13" s="84">
        <v>3</v>
      </c>
      <c r="F13" s="134">
        <f>+$C$13/3</f>
        <v>0</v>
      </c>
      <c r="G13" s="134">
        <f>+$C$13/3</f>
        <v>0</v>
      </c>
      <c r="H13" s="134">
        <f>+$C$13/3</f>
        <v>0</v>
      </c>
      <c r="I13" s="134">
        <v>0</v>
      </c>
      <c r="J13" s="134">
        <v>0</v>
      </c>
      <c r="K13" s="122"/>
    </row>
    <row r="14" spans="1:11" ht="15">
      <c r="A14" s="72" t="s">
        <v>115</v>
      </c>
      <c r="B14" s="136">
        <v>667.69</v>
      </c>
      <c r="C14" s="136">
        <v>0</v>
      </c>
      <c r="D14" s="121">
        <f>+Results!F18</f>
        <v>0</v>
      </c>
      <c r="E14" s="84"/>
      <c r="F14" s="134">
        <f>+C14</f>
        <v>0</v>
      </c>
      <c r="G14" s="134"/>
      <c r="H14" s="134"/>
      <c r="I14" s="134"/>
      <c r="J14" s="134"/>
      <c r="K14" s="122"/>
    </row>
    <row r="15" spans="1:11" ht="15">
      <c r="A15" s="72" t="s">
        <v>137</v>
      </c>
      <c r="B15" s="136"/>
      <c r="C15" s="136">
        <v>0</v>
      </c>
      <c r="D15" s="121">
        <f>+Results!F19</f>
        <v>0</v>
      </c>
      <c r="E15" s="84"/>
      <c r="F15" s="134">
        <f>+C15</f>
        <v>0</v>
      </c>
      <c r="G15" s="134">
        <f>+F15</f>
        <v>0</v>
      </c>
      <c r="H15" s="134">
        <f>+G15</f>
        <v>0</v>
      </c>
      <c r="I15" s="134">
        <f>+H15</f>
        <v>0</v>
      </c>
      <c r="J15" s="134">
        <f>+I15</f>
        <v>0</v>
      </c>
      <c r="K15" s="122"/>
    </row>
    <row r="16" spans="1:16" ht="15">
      <c r="A16" s="197" t="s">
        <v>193</v>
      </c>
      <c r="B16" s="143">
        <v>0</v>
      </c>
      <c r="C16" s="143">
        <f>+B16+D16*B16</f>
        <v>0</v>
      </c>
      <c r="D16" s="121">
        <f>+Results!F20</f>
        <v>0</v>
      </c>
      <c r="E16" s="155">
        <v>1.7</v>
      </c>
      <c r="F16" s="134">
        <f>+$C$16*(F7/$E$16+F8/$E$16+F9+F10)</f>
        <v>0</v>
      </c>
      <c r="G16" s="134">
        <f>+$C$16*(G7/$E$16+G8/$E$16+G9+G10)</f>
        <v>0</v>
      </c>
      <c r="H16" s="134">
        <f>+$C$16*(H7/$E$16+H8/$E$16+H9+H10)</f>
        <v>0</v>
      </c>
      <c r="I16" s="134">
        <f>+$C$16*(I7/$E$16+I8/$E$16+I9+I10)</f>
        <v>0</v>
      </c>
      <c r="J16" s="134">
        <f>+$C$16*(J7/$E$16+J8/$E$16+J9+J10)</f>
        <v>0</v>
      </c>
      <c r="K16" s="196"/>
      <c r="P16" s="192"/>
    </row>
    <row r="17" spans="1:11" s="128" customFormat="1" ht="15">
      <c r="A17" s="72" t="s">
        <v>151</v>
      </c>
      <c r="B17" s="139">
        <v>-0.19</v>
      </c>
      <c r="C17" s="136">
        <v>0</v>
      </c>
      <c r="D17" s="121">
        <f>+Results!F21</f>
        <v>0</v>
      </c>
      <c r="E17" s="142"/>
      <c r="F17" s="134">
        <f>+C17</f>
        <v>0</v>
      </c>
      <c r="G17" s="134">
        <f>+F17</f>
        <v>0</v>
      </c>
      <c r="H17" s="134">
        <f>+G17</f>
        <v>0</v>
      </c>
      <c r="I17" s="134">
        <f>+H17</f>
        <v>0</v>
      </c>
      <c r="J17" s="134">
        <f>+I17</f>
        <v>0</v>
      </c>
      <c r="K17" s="122"/>
    </row>
    <row r="18" spans="1:11" ht="15">
      <c r="A18" s="10" t="s">
        <v>141</v>
      </c>
      <c r="B18" s="138"/>
      <c r="C18" s="138"/>
      <c r="D18" s="85"/>
      <c r="E18" s="85"/>
      <c r="F18" s="123"/>
      <c r="G18" s="123"/>
      <c r="H18" s="123"/>
      <c r="I18" s="123"/>
      <c r="J18" s="123"/>
      <c r="K18" s="123"/>
    </row>
    <row r="19" spans="1:11" ht="15">
      <c r="A19" s="132" t="s">
        <v>116</v>
      </c>
      <c r="B19" s="137">
        <v>0.03642</v>
      </c>
      <c r="C19" s="137">
        <v>0</v>
      </c>
      <c r="D19" s="121">
        <f>+Results!F23</f>
        <v>0</v>
      </c>
      <c r="E19" s="147"/>
      <c r="F19" s="134" t="e">
        <f>+F7*$C$19*('Traffic Profile '!$C$5+'Traffic Profile '!$C$6)</f>
        <v>#DIV/0!</v>
      </c>
      <c r="G19" s="134" t="e">
        <f>+G7*$C$19*('Traffic Profile '!$C$5+'Traffic Profile '!$C$6)</f>
        <v>#DIV/0!</v>
      </c>
      <c r="H19" s="134" t="e">
        <f>+H7*$C$19*('Traffic Profile '!$C$5+'Traffic Profile '!$C$6)</f>
        <v>#DIV/0!</v>
      </c>
      <c r="I19" s="134" t="e">
        <f>+I7*$C$19*('Traffic Profile '!$C$5+'Traffic Profile '!$C$6)</f>
        <v>#DIV/0!</v>
      </c>
      <c r="J19" s="134" t="e">
        <f>+J7*$C$19*('Traffic Profile '!$C$5+'Traffic Profile '!$C$6)</f>
        <v>#DIV/0!</v>
      </c>
      <c r="K19" s="122"/>
    </row>
    <row r="20" spans="1:11" ht="15">
      <c r="A20" s="132" t="s">
        <v>117</v>
      </c>
      <c r="B20" s="137">
        <v>0.01749</v>
      </c>
      <c r="C20" s="137">
        <v>0</v>
      </c>
      <c r="D20" s="121">
        <f>+Results!F24</f>
        <v>0</v>
      </c>
      <c r="E20" s="147"/>
      <c r="F20" s="134" t="e">
        <f>+F7*$C$20*('Traffic Profile '!$C$7+'Traffic Profile '!$C$8)</f>
        <v>#DIV/0!</v>
      </c>
      <c r="G20" s="134" t="e">
        <f>+G7*$C$20*('Traffic Profile '!$C$7+'Traffic Profile '!$C$8)</f>
        <v>#DIV/0!</v>
      </c>
      <c r="H20" s="134" t="e">
        <f>+H7*$C$20*('Traffic Profile '!$C$7+'Traffic Profile '!$C$8)</f>
        <v>#DIV/0!</v>
      </c>
      <c r="I20" s="134" t="e">
        <f>+I7*$C$20*('Traffic Profile '!$C$7+'Traffic Profile '!$C$8)</f>
        <v>#DIV/0!</v>
      </c>
      <c r="J20" s="134" t="e">
        <f>+J7*$C$20*('Traffic Profile '!$C$7+'Traffic Profile '!$C$8)</f>
        <v>#DIV/0!</v>
      </c>
      <c r="K20" s="122"/>
    </row>
    <row r="21" spans="1:11" ht="15">
      <c r="A21" s="132" t="s">
        <v>118</v>
      </c>
      <c r="B21" s="137">
        <v>0.01965</v>
      </c>
      <c r="C21" s="137">
        <v>0</v>
      </c>
      <c r="D21" s="121">
        <f>+Results!F25</f>
        <v>0</v>
      </c>
      <c r="E21" s="147"/>
      <c r="F21" s="134" t="e">
        <f>+$C$21*F8*('Traffic Profile '!$C$12+'Traffic Profile '!$C$13+'Traffic Profile '!$C$14)</f>
        <v>#DIV/0!</v>
      </c>
      <c r="G21" s="134" t="e">
        <f>+$C$21*G8*('Traffic Profile '!$C$12+'Traffic Profile '!$C$13+'Traffic Profile '!$C$14)</f>
        <v>#DIV/0!</v>
      </c>
      <c r="H21" s="134" t="e">
        <f>+$C$21*H8*('Traffic Profile '!$C$12+'Traffic Profile '!$C$13+'Traffic Profile '!$C$14)</f>
        <v>#DIV/0!</v>
      </c>
      <c r="I21" s="134" t="e">
        <f>+$C$21*I8*('Traffic Profile '!$C$12+'Traffic Profile '!$C$13+'Traffic Profile '!$C$14)</f>
        <v>#DIV/0!</v>
      </c>
      <c r="J21" s="134" t="e">
        <f>+$C$21*J8*('Traffic Profile '!$C$12+'Traffic Profile '!$C$13+'Traffic Profile '!$C$14)</f>
        <v>#DIV/0!</v>
      </c>
      <c r="K21" s="122"/>
    </row>
    <row r="22" spans="1:11" s="125" customFormat="1" ht="15" customHeight="1">
      <c r="A22" s="132" t="s">
        <v>119</v>
      </c>
      <c r="B22" s="137">
        <v>0.02381</v>
      </c>
      <c r="C22" s="137">
        <v>0</v>
      </c>
      <c r="D22" s="121">
        <f>+Results!F26</f>
        <v>0</v>
      </c>
      <c r="E22" s="147"/>
      <c r="F22" s="134" t="e">
        <f>+F7*$C$22*'Traffic Profile '!$C$9</f>
        <v>#DIV/0!</v>
      </c>
      <c r="G22" s="134" t="e">
        <f>+G7*$C$22*'Traffic Profile '!$C$9</f>
        <v>#DIV/0!</v>
      </c>
      <c r="H22" s="134" t="e">
        <f>+H7*$C$22*'Traffic Profile '!$C$9</f>
        <v>#DIV/0!</v>
      </c>
      <c r="I22" s="134" t="e">
        <f>+I7*$C$22*'Traffic Profile '!$C$9</f>
        <v>#DIV/0!</v>
      </c>
      <c r="J22" s="134" t="e">
        <f>+J7*$C$22*'Traffic Profile '!$C$9</f>
        <v>#DIV/0!</v>
      </c>
      <c r="K22" s="122"/>
    </row>
    <row r="23" spans="1:11" s="125" customFormat="1" ht="15" customHeight="1">
      <c r="A23" s="132" t="s">
        <v>120</v>
      </c>
      <c r="B23" s="137">
        <f>0.2016+0.07248</f>
        <v>0.27408</v>
      </c>
      <c r="C23" s="137">
        <v>0</v>
      </c>
      <c r="D23" s="121">
        <f>+Results!F27</f>
        <v>0</v>
      </c>
      <c r="E23" s="156" t="e">
        <f>+'Traffic Profile '!C19</f>
        <v>#DIV/0!</v>
      </c>
      <c r="F23" s="134" t="e">
        <f>+$E$23*$C$23*F7*'Traffic Profile '!$C$9</f>
        <v>#DIV/0!</v>
      </c>
      <c r="G23" s="134" t="e">
        <f>+$E$23*$C$23*G7*'Traffic Profile '!$C$9</f>
        <v>#DIV/0!</v>
      </c>
      <c r="H23" s="134" t="e">
        <f>+$E$23*$C$23*H7*'Traffic Profile '!$C$9</f>
        <v>#DIV/0!</v>
      </c>
      <c r="I23" s="134" t="e">
        <f>+$E$23*$C$23*I7*'Traffic Profile '!$C$9</f>
        <v>#DIV/0!</v>
      </c>
      <c r="J23" s="134" t="e">
        <f>+$E$23*$C$23*J7*'Traffic Profile '!$C$9</f>
        <v>#DIV/0!</v>
      </c>
      <c r="K23" s="122"/>
    </row>
    <row r="24" spans="1:11" s="125" customFormat="1" ht="15" customHeight="1">
      <c r="A24" s="132" t="s">
        <v>121</v>
      </c>
      <c r="B24" s="137">
        <v>0.02381</v>
      </c>
      <c r="C24" s="137">
        <v>0</v>
      </c>
      <c r="D24" s="121">
        <f>+Results!F28</f>
        <v>0</v>
      </c>
      <c r="E24" s="156" t="e">
        <f>+'Traffic Profile '!C26</f>
        <v>#DIV/0!</v>
      </c>
      <c r="F24" s="134" t="e">
        <f>+$E$24*$C$24*F7*'Traffic Profile '!$C$9</f>
        <v>#DIV/0!</v>
      </c>
      <c r="G24" s="134" t="e">
        <f>+$E$24*$C$24*G7*'Traffic Profile '!$C$9</f>
        <v>#DIV/0!</v>
      </c>
      <c r="H24" s="134" t="e">
        <f>+$E$24*$C$24*H7*'Traffic Profile '!$C$9</f>
        <v>#DIV/0!</v>
      </c>
      <c r="I24" s="134" t="e">
        <f>+$E$24*$C$24*I7*'Traffic Profile '!$C$9</f>
        <v>#DIV/0!</v>
      </c>
      <c r="J24" s="134" t="e">
        <f>+$E$24*$C$24*J7*'Traffic Profile '!$C$9</f>
        <v>#DIV/0!</v>
      </c>
      <c r="K24" s="122"/>
    </row>
    <row r="25" spans="1:11" s="125" customFormat="1" ht="30.75" customHeight="1">
      <c r="A25" s="132" t="s">
        <v>122</v>
      </c>
      <c r="B25" s="137">
        <v>0.02381</v>
      </c>
      <c r="C25" s="137">
        <v>0</v>
      </c>
      <c r="D25" s="121">
        <f>+Results!F29</f>
        <v>0</v>
      </c>
      <c r="E25" s="156" t="e">
        <f>+E23</f>
        <v>#DIV/0!</v>
      </c>
      <c r="F25" s="134" t="e">
        <f>+$E$25*$C$25*F7*'Traffic Profile '!$C$9</f>
        <v>#DIV/0!</v>
      </c>
      <c r="G25" s="134" t="e">
        <f>+$E$25*$C$25*G7*'Traffic Profile '!$C$9</f>
        <v>#DIV/0!</v>
      </c>
      <c r="H25" s="134" t="e">
        <f>+$E$25*$C$25*H7*'Traffic Profile '!$C$9</f>
        <v>#DIV/0!</v>
      </c>
      <c r="I25" s="134" t="e">
        <f>+$E$25*$C$25*I7*'Traffic Profile '!$C$9</f>
        <v>#DIV/0!</v>
      </c>
      <c r="J25" s="134" t="e">
        <f>+$E$25*$C$25*J7*'Traffic Profile '!$C$9</f>
        <v>#DIV/0!</v>
      </c>
      <c r="K25" s="122"/>
    </row>
    <row r="26" spans="1:11" s="125" customFormat="1" ht="15" customHeight="1">
      <c r="A26" s="132" t="s">
        <v>123</v>
      </c>
      <c r="B26" s="137" t="s">
        <v>113</v>
      </c>
      <c r="C26" s="137" t="s">
        <v>113</v>
      </c>
      <c r="D26" s="121">
        <f>+Results!F30</f>
        <v>0</v>
      </c>
      <c r="E26" s="147"/>
      <c r="F26" s="134" t="e">
        <f>+F25</f>
        <v>#DIV/0!</v>
      </c>
      <c r="G26" s="134" t="e">
        <f aca="true" t="shared" si="0" ref="G26:J27">+G25</f>
        <v>#DIV/0!</v>
      </c>
      <c r="H26" s="134" t="e">
        <f t="shared" si="0"/>
        <v>#DIV/0!</v>
      </c>
      <c r="I26" s="134" t="e">
        <f t="shared" si="0"/>
        <v>#DIV/0!</v>
      </c>
      <c r="J26" s="134" t="e">
        <f t="shared" si="0"/>
        <v>#DIV/0!</v>
      </c>
      <c r="K26" s="122"/>
    </row>
    <row r="27" spans="1:11" s="125" customFormat="1" ht="15" customHeight="1">
      <c r="A27" s="132" t="s">
        <v>124</v>
      </c>
      <c r="B27" s="137" t="s">
        <v>113</v>
      </c>
      <c r="C27" s="137" t="s">
        <v>113</v>
      </c>
      <c r="D27" s="121">
        <f>+Results!F31</f>
        <v>0</v>
      </c>
      <c r="E27" s="147"/>
      <c r="F27" s="134" t="e">
        <f>+F26</f>
        <v>#DIV/0!</v>
      </c>
      <c r="G27" s="134" t="e">
        <f t="shared" si="0"/>
        <v>#DIV/0!</v>
      </c>
      <c r="H27" s="134" t="e">
        <f t="shared" si="0"/>
        <v>#DIV/0!</v>
      </c>
      <c r="I27" s="134" t="e">
        <f t="shared" si="0"/>
        <v>#DIV/0!</v>
      </c>
      <c r="J27" s="134" t="e">
        <f t="shared" si="0"/>
        <v>#DIV/0!</v>
      </c>
      <c r="K27" s="122"/>
    </row>
    <row r="28" spans="1:11" s="125" customFormat="1" ht="15" customHeight="1">
      <c r="A28" s="132" t="s">
        <v>125</v>
      </c>
      <c r="B28" s="137">
        <v>0.05737</v>
      </c>
      <c r="C28" s="137">
        <v>0</v>
      </c>
      <c r="D28" s="121">
        <f>+Results!F32</f>
        <v>0</v>
      </c>
      <c r="E28" s="147"/>
      <c r="F28" s="134" t="e">
        <f>+F26</f>
        <v>#DIV/0!</v>
      </c>
      <c r="G28" s="134" t="e">
        <f>+G26</f>
        <v>#DIV/0!</v>
      </c>
      <c r="H28" s="134" t="e">
        <f>+H26</f>
        <v>#DIV/0!</v>
      </c>
      <c r="I28" s="134" t="e">
        <f>+I26</f>
        <v>#DIV/0!</v>
      </c>
      <c r="J28" s="134" t="e">
        <f>+J26</f>
        <v>#DIV/0!</v>
      </c>
      <c r="K28" s="122"/>
    </row>
    <row r="29" spans="1:11" s="125" customFormat="1" ht="15" customHeight="1">
      <c r="A29" s="132" t="s">
        <v>126</v>
      </c>
      <c r="B29" s="137" t="s">
        <v>113</v>
      </c>
      <c r="C29" s="137" t="s">
        <v>113</v>
      </c>
      <c r="D29" s="121">
        <f>+Results!F33</f>
        <v>0</v>
      </c>
      <c r="E29" s="147"/>
      <c r="F29" s="134" t="e">
        <f aca="true" t="shared" si="1" ref="F29:J30">+F27</f>
        <v>#DIV/0!</v>
      </c>
      <c r="G29" s="134" t="e">
        <f t="shared" si="1"/>
        <v>#DIV/0!</v>
      </c>
      <c r="H29" s="134" t="e">
        <f t="shared" si="1"/>
        <v>#DIV/0!</v>
      </c>
      <c r="I29" s="134" t="e">
        <f t="shared" si="1"/>
        <v>#DIV/0!</v>
      </c>
      <c r="J29" s="134" t="e">
        <f t="shared" si="1"/>
        <v>#DIV/0!</v>
      </c>
      <c r="K29" s="122"/>
    </row>
    <row r="30" spans="1:11" s="125" customFormat="1" ht="15" customHeight="1">
      <c r="A30" s="132" t="s">
        <v>127</v>
      </c>
      <c r="B30" s="137">
        <v>0.05737</v>
      </c>
      <c r="C30" s="137">
        <v>0</v>
      </c>
      <c r="D30" s="121">
        <f>+Results!F34</f>
        <v>0</v>
      </c>
      <c r="E30" s="147"/>
      <c r="F30" s="134" t="e">
        <f t="shared" si="1"/>
        <v>#DIV/0!</v>
      </c>
      <c r="G30" s="134" t="e">
        <f t="shared" si="1"/>
        <v>#DIV/0!</v>
      </c>
      <c r="H30" s="134" t="e">
        <f t="shared" si="1"/>
        <v>#DIV/0!</v>
      </c>
      <c r="I30" s="134" t="e">
        <f t="shared" si="1"/>
        <v>#DIV/0!</v>
      </c>
      <c r="J30" s="134" t="e">
        <f t="shared" si="1"/>
        <v>#DIV/0!</v>
      </c>
      <c r="K30" s="122"/>
    </row>
    <row r="31" spans="1:11" s="127" customFormat="1" ht="30.75" customHeight="1">
      <c r="A31" s="133" t="s">
        <v>140</v>
      </c>
      <c r="B31" s="137">
        <v>0.01749</v>
      </c>
      <c r="C31" s="137">
        <v>0</v>
      </c>
      <c r="D31" s="121">
        <f>+Results!F35</f>
        <v>0</v>
      </c>
      <c r="E31" s="147"/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22"/>
    </row>
    <row r="32" spans="1:11" s="127" customFormat="1" ht="30" customHeight="1">
      <c r="A32" s="133" t="s">
        <v>128</v>
      </c>
      <c r="B32" s="137">
        <v>0.02082</v>
      </c>
      <c r="C32" s="137">
        <v>0</v>
      </c>
      <c r="D32" s="121">
        <f>+Results!F36</f>
        <v>0</v>
      </c>
      <c r="E32" s="147"/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22"/>
    </row>
    <row r="33" spans="1:11" s="127" customFormat="1" ht="30" customHeight="1">
      <c r="A33" s="132" t="s">
        <v>129</v>
      </c>
      <c r="B33" s="137" t="s">
        <v>113</v>
      </c>
      <c r="C33" s="137" t="s">
        <v>113</v>
      </c>
      <c r="D33" s="121">
        <f>+Results!F37</f>
        <v>0</v>
      </c>
      <c r="E33" s="147"/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22"/>
    </row>
    <row r="34" spans="1:11" s="127" customFormat="1" ht="31.5" customHeight="1">
      <c r="A34" s="132" t="s">
        <v>130</v>
      </c>
      <c r="B34" s="137">
        <v>0.00022</v>
      </c>
      <c r="C34" s="137">
        <v>0</v>
      </c>
      <c r="D34" s="121">
        <f>+Results!F38</f>
        <v>0</v>
      </c>
      <c r="E34" s="147"/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22"/>
    </row>
    <row r="35" spans="1:11" s="127" customFormat="1" ht="15" customHeight="1">
      <c r="A35" s="132" t="s">
        <v>131</v>
      </c>
      <c r="B35" s="139">
        <v>-0.19</v>
      </c>
      <c r="C35" s="139">
        <f>+B35+D35*B35</f>
        <v>-0.19</v>
      </c>
      <c r="D35" s="121">
        <f>+Results!F39</f>
        <v>0</v>
      </c>
      <c r="E35" s="147"/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22"/>
    </row>
    <row r="36" spans="1:11" s="127" customFormat="1" ht="15" customHeight="1">
      <c r="A36" s="132" t="s">
        <v>132</v>
      </c>
      <c r="B36" s="139">
        <v>-0.19</v>
      </c>
      <c r="C36" s="139">
        <f>+B36+D36*B36</f>
        <v>-0.19</v>
      </c>
      <c r="D36" s="121">
        <f>+Results!F40</f>
        <v>0</v>
      </c>
      <c r="E36" s="147"/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22"/>
    </row>
    <row r="37" spans="1:11" ht="15">
      <c r="A37" s="10" t="s">
        <v>142</v>
      </c>
      <c r="B37" s="140"/>
      <c r="C37" s="140"/>
      <c r="D37" s="26"/>
      <c r="E37" s="157"/>
      <c r="F37" s="135"/>
      <c r="G37" s="135"/>
      <c r="H37" s="135"/>
      <c r="I37" s="135"/>
      <c r="J37" s="135"/>
      <c r="K37" s="124"/>
    </row>
    <row r="38" spans="1:11" s="27" customFormat="1" ht="15">
      <c r="A38" s="72" t="s">
        <v>135</v>
      </c>
      <c r="B38" s="137">
        <v>0.00629</v>
      </c>
      <c r="C38" s="137">
        <v>0</v>
      </c>
      <c r="D38" s="121">
        <f>+Results!F42</f>
        <v>0</v>
      </c>
      <c r="E38" s="84"/>
      <c r="F38" s="134">
        <f>+F9*$C$38</f>
        <v>0</v>
      </c>
      <c r="G38" s="134">
        <f>+G9*$C$38</f>
        <v>0</v>
      </c>
      <c r="H38" s="134">
        <f>+H9*$C$38</f>
        <v>0</v>
      </c>
      <c r="I38" s="134">
        <f>+I9*$C$38</f>
        <v>0</v>
      </c>
      <c r="J38" s="134">
        <f>+J9*$C$38</f>
        <v>0</v>
      </c>
      <c r="K38" s="122"/>
    </row>
    <row r="39" spans="1:11" s="27" customFormat="1" ht="15">
      <c r="A39" s="72" t="s">
        <v>136</v>
      </c>
      <c r="B39" s="137">
        <v>0.00629</v>
      </c>
      <c r="C39" s="137">
        <v>0</v>
      </c>
      <c r="D39" s="121">
        <f>+Results!F43</f>
        <v>0</v>
      </c>
      <c r="E39" s="84"/>
      <c r="F39" s="134" t="e">
        <f>+F10*$C$39*'Traffic Profile '!$C$31</f>
        <v>#DIV/0!</v>
      </c>
      <c r="G39" s="134" t="e">
        <f>+G10*$C$39*'Traffic Profile '!$C$31</f>
        <v>#DIV/0!</v>
      </c>
      <c r="H39" s="134" t="e">
        <f>+H10*$C$39*'Traffic Profile '!$C$31</f>
        <v>#DIV/0!</v>
      </c>
      <c r="I39" s="134" t="e">
        <f>+I10*$C$39*'Traffic Profile '!$C$31</f>
        <v>#DIV/0!</v>
      </c>
      <c r="J39" s="134" t="e">
        <f>+J10*$C$39*'Traffic Profile '!$C$31</f>
        <v>#DIV/0!</v>
      </c>
      <c r="K39" s="122"/>
    </row>
    <row r="40" spans="1:11" s="27" customFormat="1" ht="15">
      <c r="A40" s="72" t="s">
        <v>133</v>
      </c>
      <c r="B40" s="137" t="s">
        <v>139</v>
      </c>
      <c r="C40" s="137" t="s">
        <v>139</v>
      </c>
      <c r="D40" s="121">
        <f>+Results!F44</f>
        <v>0</v>
      </c>
      <c r="E40" s="84"/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22"/>
    </row>
    <row r="41" spans="1:11" s="27" customFormat="1" ht="15">
      <c r="A41" s="72" t="s">
        <v>134</v>
      </c>
      <c r="B41" s="137">
        <v>0.00629</v>
      </c>
      <c r="C41" s="137">
        <v>0</v>
      </c>
      <c r="D41" s="121">
        <f>+Results!F45</f>
        <v>0</v>
      </c>
      <c r="E41" s="84"/>
      <c r="F41" s="134" t="e">
        <f>+F10*$C$41*'Traffic Profile '!$C$32</f>
        <v>#DIV/0!</v>
      </c>
      <c r="G41" s="134" t="e">
        <f>+G10*$C$41*'Traffic Profile '!$C$32</f>
        <v>#DIV/0!</v>
      </c>
      <c r="H41" s="134" t="e">
        <f>+H10*$C$41*'Traffic Profile '!$C$32</f>
        <v>#DIV/0!</v>
      </c>
      <c r="I41" s="134" t="e">
        <f>+I10*$C$41*'Traffic Profile '!$C$32</f>
        <v>#DIV/0!</v>
      </c>
      <c r="J41" s="134" t="e">
        <f>+J10*$C$41*'Traffic Profile '!$C$32</f>
        <v>#DIV/0!</v>
      </c>
      <c r="K41" s="122"/>
    </row>
    <row r="42" spans="1:11" ht="15">
      <c r="A42" s="10" t="s">
        <v>143</v>
      </c>
      <c r="B42" s="140"/>
      <c r="C42" s="140"/>
      <c r="D42" s="26"/>
      <c r="E42" s="26"/>
      <c r="F42" s="135"/>
      <c r="G42" s="135"/>
      <c r="H42" s="135"/>
      <c r="I42" s="135"/>
      <c r="J42" s="135"/>
      <c r="K42" s="124"/>
    </row>
    <row r="43" spans="1:11" ht="15">
      <c r="A43" s="72" t="s">
        <v>138</v>
      </c>
      <c r="B43" s="137">
        <f>0.00005*1024</f>
        <v>0.0512</v>
      </c>
      <c r="C43" s="137" t="e">
        <f>+'GPRS Cost'!F13*(1-0.1934)</f>
        <v>#DIV/0!</v>
      </c>
      <c r="D43" s="121" t="e">
        <f>+Results!F47</f>
        <v>#DIV/0!</v>
      </c>
      <c r="E43" s="84"/>
      <c r="F43" s="134" t="e">
        <f>+$C$43*F11</f>
        <v>#DIV/0!</v>
      </c>
      <c r="G43" s="134" t="e">
        <f>+$C$43*G11</f>
        <v>#DIV/0!</v>
      </c>
      <c r="H43" s="134" t="e">
        <f>+$C$43*H11</f>
        <v>#DIV/0!</v>
      </c>
      <c r="I43" s="134" t="e">
        <f>+$C$43*I11</f>
        <v>#DIV/0!</v>
      </c>
      <c r="J43" s="134" t="e">
        <f>+$C$43*J11</f>
        <v>#DIV/0!</v>
      </c>
      <c r="K43" s="122"/>
    </row>
  </sheetData>
  <sheetProtection/>
  <mergeCells count="7">
    <mergeCell ref="E2:E3"/>
    <mergeCell ref="A1:K1"/>
    <mergeCell ref="K2:K3"/>
    <mergeCell ref="A2:A3"/>
    <mergeCell ref="B2:B3"/>
    <mergeCell ref="C2:C3"/>
    <mergeCell ref="D2:D3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"/>
  <sheetViews>
    <sheetView zoomScale="80" zoomScaleNormal="80"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1" sqref="B71"/>
    </sheetView>
  </sheetViews>
  <sheetFormatPr defaultColWidth="9.140625" defaultRowHeight="15"/>
  <cols>
    <col min="1" max="1" width="48.57421875" style="0" customWidth="1"/>
    <col min="2" max="2" width="15.140625" style="0" customWidth="1"/>
    <col min="3" max="13" width="13.28125" style="0" customWidth="1"/>
    <col min="14" max="14" width="15.140625" style="58" customWidth="1"/>
  </cols>
  <sheetData>
    <row r="1" spans="1:14" ht="21">
      <c r="A1" s="223" t="s">
        <v>148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3" spans="1:14" ht="15">
      <c r="A3" s="69"/>
      <c r="B3" s="220" t="s">
        <v>76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2"/>
      <c r="N3" s="70"/>
    </row>
    <row r="4" spans="1:14" ht="15">
      <c r="A4" s="69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70" t="s">
        <v>51</v>
      </c>
    </row>
    <row r="5" spans="1:14" s="23" customFormat="1" ht="15">
      <c r="A5" s="71" t="s">
        <v>24</v>
      </c>
      <c r="B5" s="71">
        <v>0</v>
      </c>
      <c r="C5" s="71">
        <v>0</v>
      </c>
      <c r="D5" s="71">
        <v>0</v>
      </c>
      <c r="E5" s="71">
        <v>0</v>
      </c>
      <c r="F5" s="71">
        <v>0</v>
      </c>
      <c r="G5" s="71">
        <v>0</v>
      </c>
      <c r="H5" s="71">
        <v>0</v>
      </c>
      <c r="I5" s="71">
        <v>0</v>
      </c>
      <c r="J5" s="71">
        <v>0</v>
      </c>
      <c r="K5" s="71">
        <v>0</v>
      </c>
      <c r="L5" s="71">
        <v>0</v>
      </c>
      <c r="M5" s="71">
        <v>0</v>
      </c>
      <c r="N5" s="70">
        <f>SUM(B5:M5)/12</f>
        <v>0</v>
      </c>
    </row>
    <row r="6" spans="1:14" ht="15">
      <c r="A6" s="72" t="s">
        <v>25</v>
      </c>
      <c r="B6" s="72">
        <f>5%*B5</f>
        <v>0</v>
      </c>
      <c r="C6" s="72">
        <f>5%*C5</f>
        <v>0</v>
      </c>
      <c r="D6" s="72">
        <f>10%*D5</f>
        <v>0</v>
      </c>
      <c r="E6" s="72">
        <f>10%*E5</f>
        <v>0</v>
      </c>
      <c r="F6" s="72">
        <f>10%*F5</f>
        <v>0</v>
      </c>
      <c r="G6" s="72">
        <f aca="true" t="shared" si="0" ref="G6:L6">12%*G5</f>
        <v>0</v>
      </c>
      <c r="H6" s="72">
        <f t="shared" si="0"/>
        <v>0</v>
      </c>
      <c r="I6" s="72">
        <f t="shared" si="0"/>
        <v>0</v>
      </c>
      <c r="J6" s="72">
        <f t="shared" si="0"/>
        <v>0</v>
      </c>
      <c r="K6" s="72">
        <f t="shared" si="0"/>
        <v>0</v>
      </c>
      <c r="L6" s="72">
        <f t="shared" si="0"/>
        <v>0</v>
      </c>
      <c r="M6" s="72">
        <f>15%*M5</f>
        <v>0</v>
      </c>
      <c r="N6" s="70">
        <f>SUM(B6:M6)/12</f>
        <v>0</v>
      </c>
    </row>
    <row r="7" spans="1:14" ht="15">
      <c r="A7" s="72" t="s">
        <v>26</v>
      </c>
      <c r="B7" s="72">
        <f aca="true" t="shared" si="1" ref="B7:L7">B5*$B$60</f>
        <v>0</v>
      </c>
      <c r="C7" s="72">
        <f t="shared" si="1"/>
        <v>0</v>
      </c>
      <c r="D7" s="72">
        <f t="shared" si="1"/>
        <v>0</v>
      </c>
      <c r="E7" s="72">
        <f t="shared" si="1"/>
        <v>0</v>
      </c>
      <c r="F7" s="72">
        <f t="shared" si="1"/>
        <v>0</v>
      </c>
      <c r="G7" s="72">
        <f t="shared" si="1"/>
        <v>0</v>
      </c>
      <c r="H7" s="72">
        <f t="shared" si="1"/>
        <v>0</v>
      </c>
      <c r="I7" s="72">
        <f t="shared" si="1"/>
        <v>0</v>
      </c>
      <c r="J7" s="72">
        <f t="shared" si="1"/>
        <v>0</v>
      </c>
      <c r="K7" s="72">
        <f t="shared" si="1"/>
        <v>0</v>
      </c>
      <c r="L7" s="72">
        <f t="shared" si="1"/>
        <v>0</v>
      </c>
      <c r="M7" s="72">
        <f>M5*$C$60</f>
        <v>0</v>
      </c>
      <c r="N7" s="70">
        <f aca="true" t="shared" si="2" ref="N7:N12">SUM(B7:M7)</f>
        <v>0</v>
      </c>
    </row>
    <row r="8" spans="1:14" ht="15">
      <c r="A8" s="72" t="s">
        <v>27</v>
      </c>
      <c r="B8" s="72">
        <f aca="true" t="shared" si="3" ref="B8:M8">B5*$B$61</f>
        <v>0</v>
      </c>
      <c r="C8" s="72">
        <f t="shared" si="3"/>
        <v>0</v>
      </c>
      <c r="D8" s="72">
        <f t="shared" si="3"/>
        <v>0</v>
      </c>
      <c r="E8" s="72">
        <f t="shared" si="3"/>
        <v>0</v>
      </c>
      <c r="F8" s="72">
        <f t="shared" si="3"/>
        <v>0</v>
      </c>
      <c r="G8" s="72">
        <f t="shared" si="3"/>
        <v>0</v>
      </c>
      <c r="H8" s="72">
        <f t="shared" si="3"/>
        <v>0</v>
      </c>
      <c r="I8" s="72">
        <f t="shared" si="3"/>
        <v>0</v>
      </c>
      <c r="J8" s="72">
        <f t="shared" si="3"/>
        <v>0</v>
      </c>
      <c r="K8" s="72">
        <f t="shared" si="3"/>
        <v>0</v>
      </c>
      <c r="L8" s="72">
        <f t="shared" si="3"/>
        <v>0</v>
      </c>
      <c r="M8" s="72">
        <f t="shared" si="3"/>
        <v>0</v>
      </c>
      <c r="N8" s="70">
        <f t="shared" si="2"/>
        <v>0</v>
      </c>
    </row>
    <row r="9" spans="1:14" ht="15">
      <c r="A9" s="73" t="s">
        <v>28</v>
      </c>
      <c r="B9" s="72">
        <f aca="true" t="shared" si="4" ref="B9:M9">B5*$B$62</f>
        <v>0</v>
      </c>
      <c r="C9" s="72">
        <f t="shared" si="4"/>
        <v>0</v>
      </c>
      <c r="D9" s="72">
        <f t="shared" si="4"/>
        <v>0</v>
      </c>
      <c r="E9" s="72">
        <f t="shared" si="4"/>
        <v>0</v>
      </c>
      <c r="F9" s="72">
        <f t="shared" si="4"/>
        <v>0</v>
      </c>
      <c r="G9" s="72">
        <f t="shared" si="4"/>
        <v>0</v>
      </c>
      <c r="H9" s="72">
        <f t="shared" si="4"/>
        <v>0</v>
      </c>
      <c r="I9" s="72">
        <f t="shared" si="4"/>
        <v>0</v>
      </c>
      <c r="J9" s="72">
        <f t="shared" si="4"/>
        <v>0</v>
      </c>
      <c r="K9" s="72">
        <f t="shared" si="4"/>
        <v>0</v>
      </c>
      <c r="L9" s="72">
        <f t="shared" si="4"/>
        <v>0</v>
      </c>
      <c r="M9" s="72">
        <f t="shared" si="4"/>
        <v>0</v>
      </c>
      <c r="N9" s="70">
        <f t="shared" si="2"/>
        <v>0</v>
      </c>
    </row>
    <row r="10" spans="1:14" ht="15">
      <c r="A10" s="73" t="s">
        <v>29</v>
      </c>
      <c r="B10" s="72">
        <f>B9*60%</f>
        <v>0</v>
      </c>
      <c r="C10" s="72">
        <f aca="true" t="shared" si="5" ref="C10:M10">C9*60%</f>
        <v>0</v>
      </c>
      <c r="D10" s="72">
        <f t="shared" si="5"/>
        <v>0</v>
      </c>
      <c r="E10" s="72">
        <f t="shared" si="5"/>
        <v>0</v>
      </c>
      <c r="F10" s="72">
        <f t="shared" si="5"/>
        <v>0</v>
      </c>
      <c r="G10" s="72">
        <f t="shared" si="5"/>
        <v>0</v>
      </c>
      <c r="H10" s="72">
        <f t="shared" si="5"/>
        <v>0</v>
      </c>
      <c r="I10" s="72">
        <f t="shared" si="5"/>
        <v>0</v>
      </c>
      <c r="J10" s="72">
        <f t="shared" si="5"/>
        <v>0</v>
      </c>
      <c r="K10" s="72">
        <f t="shared" si="5"/>
        <v>0</v>
      </c>
      <c r="L10" s="72">
        <f t="shared" si="5"/>
        <v>0</v>
      </c>
      <c r="M10" s="72">
        <f t="shared" si="5"/>
        <v>0</v>
      </c>
      <c r="N10" s="70">
        <f t="shared" si="2"/>
        <v>0</v>
      </c>
    </row>
    <row r="11" spans="1:14" ht="15">
      <c r="A11" s="73" t="s">
        <v>174</v>
      </c>
      <c r="B11" s="72">
        <f aca="true" t="shared" si="6" ref="B11:M11">B6*$B$64</f>
        <v>0</v>
      </c>
      <c r="C11" s="72">
        <f t="shared" si="6"/>
        <v>0</v>
      </c>
      <c r="D11" s="72">
        <f t="shared" si="6"/>
        <v>0</v>
      </c>
      <c r="E11" s="72">
        <f t="shared" si="6"/>
        <v>0</v>
      </c>
      <c r="F11" s="72">
        <f t="shared" si="6"/>
        <v>0</v>
      </c>
      <c r="G11" s="72">
        <f t="shared" si="6"/>
        <v>0</v>
      </c>
      <c r="H11" s="72">
        <f t="shared" si="6"/>
        <v>0</v>
      </c>
      <c r="I11" s="72">
        <f t="shared" si="6"/>
        <v>0</v>
      </c>
      <c r="J11" s="72">
        <f t="shared" si="6"/>
        <v>0</v>
      </c>
      <c r="K11" s="72">
        <f t="shared" si="6"/>
        <v>0</v>
      </c>
      <c r="L11" s="72">
        <f t="shared" si="6"/>
        <v>0</v>
      </c>
      <c r="M11" s="72">
        <f t="shared" si="6"/>
        <v>0</v>
      </c>
      <c r="N11" s="70">
        <f t="shared" si="2"/>
        <v>0</v>
      </c>
    </row>
    <row r="12" spans="1:14" ht="15">
      <c r="A12" s="74" t="s">
        <v>30</v>
      </c>
      <c r="B12" s="74">
        <f aca="true" t="shared" si="7" ref="B12:M12">B5*$B$71</f>
        <v>0</v>
      </c>
      <c r="C12" s="74">
        <f t="shared" si="7"/>
        <v>0</v>
      </c>
      <c r="D12" s="74">
        <f t="shared" si="7"/>
        <v>0</v>
      </c>
      <c r="E12" s="74">
        <f t="shared" si="7"/>
        <v>0</v>
      </c>
      <c r="F12" s="74">
        <f t="shared" si="7"/>
        <v>0</v>
      </c>
      <c r="G12" s="74">
        <f t="shared" si="7"/>
        <v>0</v>
      </c>
      <c r="H12" s="74">
        <f t="shared" si="7"/>
        <v>0</v>
      </c>
      <c r="I12" s="74">
        <f t="shared" si="7"/>
        <v>0</v>
      </c>
      <c r="J12" s="74">
        <f t="shared" si="7"/>
        <v>0</v>
      </c>
      <c r="K12" s="74">
        <f t="shared" si="7"/>
        <v>0</v>
      </c>
      <c r="L12" s="74">
        <f t="shared" si="7"/>
        <v>0</v>
      </c>
      <c r="M12" s="74">
        <f t="shared" si="7"/>
        <v>0</v>
      </c>
      <c r="N12" s="75">
        <f t="shared" si="2"/>
        <v>0</v>
      </c>
    </row>
    <row r="13" spans="1:14" ht="1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76"/>
    </row>
    <row r="14" spans="1:14" ht="15">
      <c r="A14" s="69"/>
      <c r="B14" s="224" t="s">
        <v>22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6"/>
      <c r="N14" s="70"/>
    </row>
    <row r="15" spans="1:14" ht="15">
      <c r="A15" s="69"/>
      <c r="B15" s="69">
        <v>13</v>
      </c>
      <c r="C15" s="69">
        <v>14</v>
      </c>
      <c r="D15" s="69">
        <v>15</v>
      </c>
      <c r="E15" s="69">
        <v>16</v>
      </c>
      <c r="F15" s="69">
        <v>17</v>
      </c>
      <c r="G15" s="69">
        <v>18</v>
      </c>
      <c r="H15" s="69">
        <v>19</v>
      </c>
      <c r="I15" s="69">
        <v>20</v>
      </c>
      <c r="J15" s="69">
        <v>21</v>
      </c>
      <c r="K15" s="69">
        <v>22</v>
      </c>
      <c r="L15" s="69">
        <v>23</v>
      </c>
      <c r="M15" s="69">
        <v>24</v>
      </c>
      <c r="N15" s="70" t="s">
        <v>52</v>
      </c>
    </row>
    <row r="16" spans="1:14" ht="15">
      <c r="A16" s="71" t="s">
        <v>24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0">
        <f>SUM(B16:M16)/12</f>
        <v>0</v>
      </c>
    </row>
    <row r="17" spans="1:14" ht="15">
      <c r="A17" s="72" t="s">
        <v>25</v>
      </c>
      <c r="B17" s="72">
        <f>15%*B16</f>
        <v>0</v>
      </c>
      <c r="C17" s="72">
        <f>15%*C16</f>
        <v>0</v>
      </c>
      <c r="D17" s="72">
        <f>15%*D16</f>
        <v>0</v>
      </c>
      <c r="E17" s="72">
        <f>15%*E16</f>
        <v>0</v>
      </c>
      <c r="F17" s="72">
        <f>17.55%*F16</f>
        <v>0</v>
      </c>
      <c r="G17" s="72">
        <f aca="true" t="shared" si="8" ref="G17:L17">17.55%*G16</f>
        <v>0</v>
      </c>
      <c r="H17" s="72">
        <f t="shared" si="8"/>
        <v>0</v>
      </c>
      <c r="I17" s="72">
        <f t="shared" si="8"/>
        <v>0</v>
      </c>
      <c r="J17" s="72">
        <f t="shared" si="8"/>
        <v>0</v>
      </c>
      <c r="K17" s="72">
        <f t="shared" si="8"/>
        <v>0</v>
      </c>
      <c r="L17" s="72">
        <f t="shared" si="8"/>
        <v>0</v>
      </c>
      <c r="M17" s="72">
        <f>20%*M16</f>
        <v>0</v>
      </c>
      <c r="N17" s="70">
        <f>SUM(B17:M17)/12</f>
        <v>0</v>
      </c>
    </row>
    <row r="18" spans="1:14" ht="15">
      <c r="A18" s="72" t="s">
        <v>26</v>
      </c>
      <c r="B18" s="72">
        <f aca="true" t="shared" si="9" ref="B18:M18">B16*$C$60</f>
        <v>0</v>
      </c>
      <c r="C18" s="72">
        <f t="shared" si="9"/>
        <v>0</v>
      </c>
      <c r="D18" s="72">
        <f t="shared" si="9"/>
        <v>0</v>
      </c>
      <c r="E18" s="72">
        <f t="shared" si="9"/>
        <v>0</v>
      </c>
      <c r="F18" s="72">
        <f t="shared" si="9"/>
        <v>0</v>
      </c>
      <c r="G18" s="72">
        <f t="shared" si="9"/>
        <v>0</v>
      </c>
      <c r="H18" s="72">
        <f t="shared" si="9"/>
        <v>0</v>
      </c>
      <c r="I18" s="72">
        <f t="shared" si="9"/>
        <v>0</v>
      </c>
      <c r="J18" s="72">
        <f t="shared" si="9"/>
        <v>0</v>
      </c>
      <c r="K18" s="72">
        <f t="shared" si="9"/>
        <v>0</v>
      </c>
      <c r="L18" s="72">
        <f t="shared" si="9"/>
        <v>0</v>
      </c>
      <c r="M18" s="72">
        <f t="shared" si="9"/>
        <v>0</v>
      </c>
      <c r="N18" s="70">
        <f aca="true" t="shared" si="10" ref="N18:N23">SUM(B18:M18)</f>
        <v>0</v>
      </c>
    </row>
    <row r="19" spans="1:14" ht="15">
      <c r="A19" s="72" t="s">
        <v>27</v>
      </c>
      <c r="B19" s="72">
        <f aca="true" t="shared" si="11" ref="B19:M19">B16*$C$61</f>
        <v>0</v>
      </c>
      <c r="C19" s="72">
        <f t="shared" si="11"/>
        <v>0</v>
      </c>
      <c r="D19" s="72">
        <f t="shared" si="11"/>
        <v>0</v>
      </c>
      <c r="E19" s="72">
        <f t="shared" si="11"/>
        <v>0</v>
      </c>
      <c r="F19" s="72">
        <f t="shared" si="11"/>
        <v>0</v>
      </c>
      <c r="G19" s="72">
        <f t="shared" si="11"/>
        <v>0</v>
      </c>
      <c r="H19" s="72">
        <f t="shared" si="11"/>
        <v>0</v>
      </c>
      <c r="I19" s="72">
        <f t="shared" si="11"/>
        <v>0</v>
      </c>
      <c r="J19" s="72">
        <f t="shared" si="11"/>
        <v>0</v>
      </c>
      <c r="K19" s="72">
        <f t="shared" si="11"/>
        <v>0</v>
      </c>
      <c r="L19" s="72">
        <f t="shared" si="11"/>
        <v>0</v>
      </c>
      <c r="M19" s="72">
        <f t="shared" si="11"/>
        <v>0</v>
      </c>
      <c r="N19" s="70">
        <f t="shared" si="10"/>
        <v>0</v>
      </c>
    </row>
    <row r="20" spans="1:14" ht="15">
      <c r="A20" s="73" t="s">
        <v>28</v>
      </c>
      <c r="B20" s="60">
        <f aca="true" t="shared" si="12" ref="B20:M20">B16*$C$62</f>
        <v>0</v>
      </c>
      <c r="C20" s="60">
        <f t="shared" si="12"/>
        <v>0</v>
      </c>
      <c r="D20" s="60">
        <f t="shared" si="12"/>
        <v>0</v>
      </c>
      <c r="E20" s="60">
        <f t="shared" si="12"/>
        <v>0</v>
      </c>
      <c r="F20" s="60">
        <f t="shared" si="12"/>
        <v>0</v>
      </c>
      <c r="G20" s="60">
        <f t="shared" si="12"/>
        <v>0</v>
      </c>
      <c r="H20" s="60">
        <f t="shared" si="12"/>
        <v>0</v>
      </c>
      <c r="I20" s="60">
        <f t="shared" si="12"/>
        <v>0</v>
      </c>
      <c r="J20" s="60">
        <f t="shared" si="12"/>
        <v>0</v>
      </c>
      <c r="K20" s="60">
        <f t="shared" si="12"/>
        <v>0</v>
      </c>
      <c r="L20" s="60">
        <f t="shared" si="12"/>
        <v>0</v>
      </c>
      <c r="M20" s="60">
        <f t="shared" si="12"/>
        <v>0</v>
      </c>
      <c r="N20" s="61">
        <f t="shared" si="10"/>
        <v>0</v>
      </c>
    </row>
    <row r="21" spans="1:14" ht="15">
      <c r="A21" s="73" t="s">
        <v>29</v>
      </c>
      <c r="B21" s="60">
        <f aca="true" t="shared" si="13" ref="B21:M21">B20*60%</f>
        <v>0</v>
      </c>
      <c r="C21" s="60">
        <f t="shared" si="13"/>
        <v>0</v>
      </c>
      <c r="D21" s="60">
        <f t="shared" si="13"/>
        <v>0</v>
      </c>
      <c r="E21" s="60">
        <f t="shared" si="13"/>
        <v>0</v>
      </c>
      <c r="F21" s="60">
        <f t="shared" si="13"/>
        <v>0</v>
      </c>
      <c r="G21" s="60">
        <f t="shared" si="13"/>
        <v>0</v>
      </c>
      <c r="H21" s="60">
        <f t="shared" si="13"/>
        <v>0</v>
      </c>
      <c r="I21" s="60">
        <f t="shared" si="13"/>
        <v>0</v>
      </c>
      <c r="J21" s="60">
        <f t="shared" si="13"/>
        <v>0</v>
      </c>
      <c r="K21" s="60">
        <f t="shared" si="13"/>
        <v>0</v>
      </c>
      <c r="L21" s="60">
        <f t="shared" si="13"/>
        <v>0</v>
      </c>
      <c r="M21" s="60">
        <f t="shared" si="13"/>
        <v>0</v>
      </c>
      <c r="N21" s="61">
        <f t="shared" si="10"/>
        <v>0</v>
      </c>
    </row>
    <row r="22" spans="1:14" ht="15">
      <c r="A22" s="73" t="s">
        <v>174</v>
      </c>
      <c r="B22" s="60">
        <f aca="true" t="shared" si="14" ref="B22:M22">B17*$C$64</f>
        <v>0</v>
      </c>
      <c r="C22" s="60">
        <f t="shared" si="14"/>
        <v>0</v>
      </c>
      <c r="D22" s="60">
        <f t="shared" si="14"/>
        <v>0</v>
      </c>
      <c r="E22" s="60">
        <f t="shared" si="14"/>
        <v>0</v>
      </c>
      <c r="F22" s="60">
        <f t="shared" si="14"/>
        <v>0</v>
      </c>
      <c r="G22" s="60">
        <f t="shared" si="14"/>
        <v>0</v>
      </c>
      <c r="H22" s="60">
        <f t="shared" si="14"/>
        <v>0</v>
      </c>
      <c r="I22" s="60">
        <f t="shared" si="14"/>
        <v>0</v>
      </c>
      <c r="J22" s="60">
        <f t="shared" si="14"/>
        <v>0</v>
      </c>
      <c r="K22" s="60">
        <f t="shared" si="14"/>
        <v>0</v>
      </c>
      <c r="L22" s="60">
        <f t="shared" si="14"/>
        <v>0</v>
      </c>
      <c r="M22" s="60">
        <f t="shared" si="14"/>
        <v>0</v>
      </c>
      <c r="N22" s="61">
        <f t="shared" si="10"/>
        <v>0</v>
      </c>
    </row>
    <row r="23" spans="1:14" ht="15">
      <c r="A23" s="74" t="s">
        <v>30</v>
      </c>
      <c r="B23" s="74">
        <f aca="true" t="shared" si="15" ref="B23:M23">B16*$C$71</f>
        <v>0</v>
      </c>
      <c r="C23" s="74">
        <f t="shared" si="15"/>
        <v>0</v>
      </c>
      <c r="D23" s="74">
        <f t="shared" si="15"/>
        <v>0</v>
      </c>
      <c r="E23" s="74">
        <f t="shared" si="15"/>
        <v>0</v>
      </c>
      <c r="F23" s="74">
        <f t="shared" si="15"/>
        <v>0</v>
      </c>
      <c r="G23" s="74">
        <f t="shared" si="15"/>
        <v>0</v>
      </c>
      <c r="H23" s="74">
        <f t="shared" si="15"/>
        <v>0</v>
      </c>
      <c r="I23" s="74">
        <f t="shared" si="15"/>
        <v>0</v>
      </c>
      <c r="J23" s="74">
        <f t="shared" si="15"/>
        <v>0</v>
      </c>
      <c r="K23" s="74">
        <f t="shared" si="15"/>
        <v>0</v>
      </c>
      <c r="L23" s="74">
        <f t="shared" si="15"/>
        <v>0</v>
      </c>
      <c r="M23" s="74">
        <f t="shared" si="15"/>
        <v>0</v>
      </c>
      <c r="N23" s="75">
        <f t="shared" si="10"/>
        <v>0</v>
      </c>
    </row>
    <row r="24" spans="1:14" ht="15">
      <c r="A24" s="59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1:14" ht="15">
      <c r="A25" s="69"/>
      <c r="B25" s="220" t="s">
        <v>23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2"/>
      <c r="N25" s="61"/>
    </row>
    <row r="26" spans="1:14" ht="15">
      <c r="A26" s="69"/>
      <c r="B26" s="64">
        <v>25</v>
      </c>
      <c r="C26" s="64">
        <v>26</v>
      </c>
      <c r="D26" s="64">
        <v>27</v>
      </c>
      <c r="E26" s="64">
        <v>28</v>
      </c>
      <c r="F26" s="64">
        <v>29</v>
      </c>
      <c r="G26" s="64">
        <v>30</v>
      </c>
      <c r="H26" s="64">
        <v>31</v>
      </c>
      <c r="I26" s="64">
        <v>32</v>
      </c>
      <c r="J26" s="64">
        <v>33</v>
      </c>
      <c r="K26" s="64">
        <v>34</v>
      </c>
      <c r="L26" s="64">
        <v>35</v>
      </c>
      <c r="M26" s="65">
        <v>36</v>
      </c>
      <c r="N26" s="61" t="s">
        <v>53</v>
      </c>
    </row>
    <row r="27" spans="1:14" ht="15">
      <c r="A27" s="71" t="s">
        <v>24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61">
        <f>SUM(B27:M27)/12</f>
        <v>0</v>
      </c>
    </row>
    <row r="28" spans="1:14" ht="15">
      <c r="A28" s="72" t="s">
        <v>25</v>
      </c>
      <c r="B28" s="60">
        <f aca="true" t="shared" si="16" ref="B28:L28">20%*B27</f>
        <v>0</v>
      </c>
      <c r="C28" s="60">
        <f t="shared" si="16"/>
        <v>0</v>
      </c>
      <c r="D28" s="60">
        <f t="shared" si="16"/>
        <v>0</v>
      </c>
      <c r="E28" s="60">
        <f t="shared" si="16"/>
        <v>0</v>
      </c>
      <c r="F28" s="60">
        <f t="shared" si="16"/>
        <v>0</v>
      </c>
      <c r="G28" s="60">
        <f t="shared" si="16"/>
        <v>0</v>
      </c>
      <c r="H28" s="60">
        <f t="shared" si="16"/>
        <v>0</v>
      </c>
      <c r="I28" s="60">
        <f t="shared" si="16"/>
        <v>0</v>
      </c>
      <c r="J28" s="60">
        <f t="shared" si="16"/>
        <v>0</v>
      </c>
      <c r="K28" s="60">
        <f t="shared" si="16"/>
        <v>0</v>
      </c>
      <c r="L28" s="60">
        <f t="shared" si="16"/>
        <v>0</v>
      </c>
      <c r="M28" s="66">
        <f>25%*M27</f>
        <v>0</v>
      </c>
      <c r="N28" s="61">
        <f>SUM(B28:M28)/12</f>
        <v>0</v>
      </c>
    </row>
    <row r="29" spans="1:14" ht="15">
      <c r="A29" s="72" t="s">
        <v>26</v>
      </c>
      <c r="B29" s="67">
        <f aca="true" t="shared" si="17" ref="B29:M29">B27*$D$60</f>
        <v>0</v>
      </c>
      <c r="C29" s="60">
        <f t="shared" si="17"/>
        <v>0</v>
      </c>
      <c r="D29" s="60">
        <f t="shared" si="17"/>
        <v>0</v>
      </c>
      <c r="E29" s="60">
        <f t="shared" si="17"/>
        <v>0</v>
      </c>
      <c r="F29" s="60">
        <f t="shared" si="17"/>
        <v>0</v>
      </c>
      <c r="G29" s="60">
        <f t="shared" si="17"/>
        <v>0</v>
      </c>
      <c r="H29" s="60">
        <f t="shared" si="17"/>
        <v>0</v>
      </c>
      <c r="I29" s="60">
        <f t="shared" si="17"/>
        <v>0</v>
      </c>
      <c r="J29" s="60">
        <f t="shared" si="17"/>
        <v>0</v>
      </c>
      <c r="K29" s="60">
        <f t="shared" si="17"/>
        <v>0</v>
      </c>
      <c r="L29" s="60">
        <f t="shared" si="17"/>
        <v>0</v>
      </c>
      <c r="M29" s="66">
        <f t="shared" si="17"/>
        <v>0</v>
      </c>
      <c r="N29" s="61">
        <f aca="true" t="shared" si="18" ref="N29:N34">SUM(B29:M29)</f>
        <v>0</v>
      </c>
    </row>
    <row r="30" spans="1:14" ht="15">
      <c r="A30" s="72" t="s">
        <v>27</v>
      </c>
      <c r="B30" s="60">
        <f aca="true" t="shared" si="19" ref="B30:M30">B27*$D$61</f>
        <v>0</v>
      </c>
      <c r="C30" s="60">
        <f t="shared" si="19"/>
        <v>0</v>
      </c>
      <c r="D30" s="60">
        <f t="shared" si="19"/>
        <v>0</v>
      </c>
      <c r="E30" s="60">
        <f t="shared" si="19"/>
        <v>0</v>
      </c>
      <c r="F30" s="60">
        <f t="shared" si="19"/>
        <v>0</v>
      </c>
      <c r="G30" s="60">
        <f t="shared" si="19"/>
        <v>0</v>
      </c>
      <c r="H30" s="60">
        <f t="shared" si="19"/>
        <v>0</v>
      </c>
      <c r="I30" s="60">
        <f t="shared" si="19"/>
        <v>0</v>
      </c>
      <c r="J30" s="60">
        <f t="shared" si="19"/>
        <v>0</v>
      </c>
      <c r="K30" s="60">
        <f t="shared" si="19"/>
        <v>0</v>
      </c>
      <c r="L30" s="60">
        <f t="shared" si="19"/>
        <v>0</v>
      </c>
      <c r="M30" s="66">
        <f t="shared" si="19"/>
        <v>0</v>
      </c>
      <c r="N30" s="61">
        <f t="shared" si="18"/>
        <v>0</v>
      </c>
    </row>
    <row r="31" spans="1:14" ht="15">
      <c r="A31" s="73" t="s">
        <v>28</v>
      </c>
      <c r="B31" s="60">
        <f aca="true" t="shared" si="20" ref="B31:M31">B27*$D$62</f>
        <v>0</v>
      </c>
      <c r="C31" s="60">
        <f t="shared" si="20"/>
        <v>0</v>
      </c>
      <c r="D31" s="60">
        <f t="shared" si="20"/>
        <v>0</v>
      </c>
      <c r="E31" s="60">
        <f t="shared" si="20"/>
        <v>0</v>
      </c>
      <c r="F31" s="60">
        <f t="shared" si="20"/>
        <v>0</v>
      </c>
      <c r="G31" s="60">
        <f t="shared" si="20"/>
        <v>0</v>
      </c>
      <c r="H31" s="60">
        <f t="shared" si="20"/>
        <v>0</v>
      </c>
      <c r="I31" s="60">
        <f t="shared" si="20"/>
        <v>0</v>
      </c>
      <c r="J31" s="60">
        <f t="shared" si="20"/>
        <v>0</v>
      </c>
      <c r="K31" s="60">
        <f t="shared" si="20"/>
        <v>0</v>
      </c>
      <c r="L31" s="60">
        <f t="shared" si="20"/>
        <v>0</v>
      </c>
      <c r="M31" s="66">
        <f t="shared" si="20"/>
        <v>0</v>
      </c>
      <c r="N31" s="61">
        <f t="shared" si="18"/>
        <v>0</v>
      </c>
    </row>
    <row r="32" spans="1:14" ht="15">
      <c r="A32" s="73" t="s">
        <v>29</v>
      </c>
      <c r="B32" s="60">
        <f aca="true" t="shared" si="21" ref="B32:M32">B31*60%</f>
        <v>0</v>
      </c>
      <c r="C32" s="60">
        <f t="shared" si="21"/>
        <v>0</v>
      </c>
      <c r="D32" s="60">
        <f t="shared" si="21"/>
        <v>0</v>
      </c>
      <c r="E32" s="60">
        <f t="shared" si="21"/>
        <v>0</v>
      </c>
      <c r="F32" s="60">
        <f t="shared" si="21"/>
        <v>0</v>
      </c>
      <c r="G32" s="60">
        <f t="shared" si="21"/>
        <v>0</v>
      </c>
      <c r="H32" s="60">
        <f t="shared" si="21"/>
        <v>0</v>
      </c>
      <c r="I32" s="60">
        <f t="shared" si="21"/>
        <v>0</v>
      </c>
      <c r="J32" s="60">
        <f t="shared" si="21"/>
        <v>0</v>
      </c>
      <c r="K32" s="60">
        <f t="shared" si="21"/>
        <v>0</v>
      </c>
      <c r="L32" s="60">
        <f t="shared" si="21"/>
        <v>0</v>
      </c>
      <c r="M32" s="66">
        <f t="shared" si="21"/>
        <v>0</v>
      </c>
      <c r="N32" s="61">
        <f t="shared" si="18"/>
        <v>0</v>
      </c>
    </row>
    <row r="33" spans="1:14" ht="15">
      <c r="A33" s="73" t="s">
        <v>174</v>
      </c>
      <c r="B33" s="60">
        <f aca="true" t="shared" si="22" ref="B33:M33">B28*$D$64</f>
        <v>0</v>
      </c>
      <c r="C33" s="60">
        <f t="shared" si="22"/>
        <v>0</v>
      </c>
      <c r="D33" s="60">
        <f t="shared" si="22"/>
        <v>0</v>
      </c>
      <c r="E33" s="60">
        <f t="shared" si="22"/>
        <v>0</v>
      </c>
      <c r="F33" s="60">
        <f t="shared" si="22"/>
        <v>0</v>
      </c>
      <c r="G33" s="60">
        <f t="shared" si="22"/>
        <v>0</v>
      </c>
      <c r="H33" s="60">
        <f t="shared" si="22"/>
        <v>0</v>
      </c>
      <c r="I33" s="60">
        <f t="shared" si="22"/>
        <v>0</v>
      </c>
      <c r="J33" s="60">
        <f t="shared" si="22"/>
        <v>0</v>
      </c>
      <c r="K33" s="60">
        <f t="shared" si="22"/>
        <v>0</v>
      </c>
      <c r="L33" s="60">
        <f t="shared" si="22"/>
        <v>0</v>
      </c>
      <c r="M33" s="60">
        <f t="shared" si="22"/>
        <v>0</v>
      </c>
      <c r="N33" s="61">
        <f t="shared" si="18"/>
        <v>0</v>
      </c>
    </row>
    <row r="34" spans="1:14" ht="15">
      <c r="A34" s="74" t="s">
        <v>30</v>
      </c>
      <c r="B34" s="74">
        <f aca="true" t="shared" si="23" ref="B34:M34">B27*$D$71</f>
        <v>0</v>
      </c>
      <c r="C34" s="74">
        <f t="shared" si="23"/>
        <v>0</v>
      </c>
      <c r="D34" s="74">
        <f t="shared" si="23"/>
        <v>0</v>
      </c>
      <c r="E34" s="74">
        <f t="shared" si="23"/>
        <v>0</v>
      </c>
      <c r="F34" s="74">
        <f t="shared" si="23"/>
        <v>0</v>
      </c>
      <c r="G34" s="74">
        <f t="shared" si="23"/>
        <v>0</v>
      </c>
      <c r="H34" s="74">
        <f t="shared" si="23"/>
        <v>0</v>
      </c>
      <c r="I34" s="74">
        <f t="shared" si="23"/>
        <v>0</v>
      </c>
      <c r="J34" s="74">
        <f t="shared" si="23"/>
        <v>0</v>
      </c>
      <c r="K34" s="74">
        <f t="shared" si="23"/>
        <v>0</v>
      </c>
      <c r="L34" s="74">
        <f t="shared" si="23"/>
        <v>0</v>
      </c>
      <c r="M34" s="74">
        <f t="shared" si="23"/>
        <v>0</v>
      </c>
      <c r="N34" s="75">
        <f t="shared" si="18"/>
        <v>0</v>
      </c>
    </row>
    <row r="35" spans="1:14" ht="15">
      <c r="A35" s="59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</row>
    <row r="36" spans="1:14" ht="15">
      <c r="A36" s="69"/>
      <c r="B36" s="220" t="s">
        <v>72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2"/>
      <c r="N36" s="61"/>
    </row>
    <row r="37" spans="1:14" ht="15">
      <c r="A37" s="69"/>
      <c r="B37" s="64">
        <f>+M26+1</f>
        <v>37</v>
      </c>
      <c r="C37" s="64">
        <f>+B37+1</f>
        <v>38</v>
      </c>
      <c r="D37" s="64">
        <f aca="true" t="shared" si="24" ref="D37:M37">+C37+1</f>
        <v>39</v>
      </c>
      <c r="E37" s="64">
        <f t="shared" si="24"/>
        <v>40</v>
      </c>
      <c r="F37" s="64">
        <f t="shared" si="24"/>
        <v>41</v>
      </c>
      <c r="G37" s="64">
        <f t="shared" si="24"/>
        <v>42</v>
      </c>
      <c r="H37" s="64">
        <f t="shared" si="24"/>
        <v>43</v>
      </c>
      <c r="I37" s="64">
        <f t="shared" si="24"/>
        <v>44</v>
      </c>
      <c r="J37" s="64">
        <f t="shared" si="24"/>
        <v>45</v>
      </c>
      <c r="K37" s="64">
        <f t="shared" si="24"/>
        <v>46</v>
      </c>
      <c r="L37" s="64">
        <f t="shared" si="24"/>
        <v>47</v>
      </c>
      <c r="M37" s="64">
        <f t="shared" si="24"/>
        <v>48</v>
      </c>
      <c r="N37" s="68" t="s">
        <v>73</v>
      </c>
    </row>
    <row r="38" spans="1:14" ht="15">
      <c r="A38" s="71" t="s">
        <v>24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61">
        <f>SUM(B38:M38)/12</f>
        <v>0</v>
      </c>
    </row>
    <row r="39" spans="1:14" ht="15">
      <c r="A39" s="72" t="s">
        <v>25</v>
      </c>
      <c r="B39" s="60">
        <f aca="true" t="shared" si="25" ref="B39:L39">20%*B38</f>
        <v>0</v>
      </c>
      <c r="C39" s="60">
        <f t="shared" si="25"/>
        <v>0</v>
      </c>
      <c r="D39" s="60">
        <f t="shared" si="25"/>
        <v>0</v>
      </c>
      <c r="E39" s="60">
        <f t="shared" si="25"/>
        <v>0</v>
      </c>
      <c r="F39" s="60">
        <f t="shared" si="25"/>
        <v>0</v>
      </c>
      <c r="G39" s="60">
        <f t="shared" si="25"/>
        <v>0</v>
      </c>
      <c r="H39" s="60">
        <f t="shared" si="25"/>
        <v>0</v>
      </c>
      <c r="I39" s="60">
        <f t="shared" si="25"/>
        <v>0</v>
      </c>
      <c r="J39" s="60">
        <f t="shared" si="25"/>
        <v>0</v>
      </c>
      <c r="K39" s="60">
        <f t="shared" si="25"/>
        <v>0</v>
      </c>
      <c r="L39" s="60">
        <f t="shared" si="25"/>
        <v>0</v>
      </c>
      <c r="M39" s="66">
        <f>25%*M38</f>
        <v>0</v>
      </c>
      <c r="N39" s="61">
        <f>SUM(B39:M39)/12</f>
        <v>0</v>
      </c>
    </row>
    <row r="40" spans="1:14" ht="15">
      <c r="A40" s="72" t="s">
        <v>26</v>
      </c>
      <c r="B40" s="67">
        <f>B38*$E$60</f>
        <v>0</v>
      </c>
      <c r="C40" s="67">
        <f aca="true" t="shared" si="26" ref="C40:M40">C38*$E$60</f>
        <v>0</v>
      </c>
      <c r="D40" s="67">
        <f t="shared" si="26"/>
        <v>0</v>
      </c>
      <c r="E40" s="67">
        <f t="shared" si="26"/>
        <v>0</v>
      </c>
      <c r="F40" s="67">
        <f t="shared" si="26"/>
        <v>0</v>
      </c>
      <c r="G40" s="67">
        <f t="shared" si="26"/>
        <v>0</v>
      </c>
      <c r="H40" s="67">
        <f t="shared" si="26"/>
        <v>0</v>
      </c>
      <c r="I40" s="67">
        <f t="shared" si="26"/>
        <v>0</v>
      </c>
      <c r="J40" s="67">
        <f t="shared" si="26"/>
        <v>0</v>
      </c>
      <c r="K40" s="67">
        <f t="shared" si="26"/>
        <v>0</v>
      </c>
      <c r="L40" s="67">
        <f t="shared" si="26"/>
        <v>0</v>
      </c>
      <c r="M40" s="67">
        <f t="shared" si="26"/>
        <v>0</v>
      </c>
      <c r="N40" s="61">
        <f aca="true" t="shared" si="27" ref="N40:N45">SUM(B40:M40)</f>
        <v>0</v>
      </c>
    </row>
    <row r="41" spans="1:14" ht="15">
      <c r="A41" s="72" t="s">
        <v>27</v>
      </c>
      <c r="B41" s="60">
        <f>B38*$E$61</f>
        <v>0</v>
      </c>
      <c r="C41" s="60">
        <f aca="true" t="shared" si="28" ref="C41:M41">C38*$E$61</f>
        <v>0</v>
      </c>
      <c r="D41" s="60">
        <f t="shared" si="28"/>
        <v>0</v>
      </c>
      <c r="E41" s="60">
        <f t="shared" si="28"/>
        <v>0</v>
      </c>
      <c r="F41" s="60">
        <f t="shared" si="28"/>
        <v>0</v>
      </c>
      <c r="G41" s="60">
        <f t="shared" si="28"/>
        <v>0</v>
      </c>
      <c r="H41" s="60">
        <f t="shared" si="28"/>
        <v>0</v>
      </c>
      <c r="I41" s="60">
        <f t="shared" si="28"/>
        <v>0</v>
      </c>
      <c r="J41" s="60">
        <f t="shared" si="28"/>
        <v>0</v>
      </c>
      <c r="K41" s="60">
        <f t="shared" si="28"/>
        <v>0</v>
      </c>
      <c r="L41" s="60">
        <f t="shared" si="28"/>
        <v>0</v>
      </c>
      <c r="M41" s="60">
        <f t="shared" si="28"/>
        <v>0</v>
      </c>
      <c r="N41" s="61">
        <f t="shared" si="27"/>
        <v>0</v>
      </c>
    </row>
    <row r="42" spans="1:14" ht="15">
      <c r="A42" s="73" t="s">
        <v>28</v>
      </c>
      <c r="B42" s="60">
        <f>B38*$E$62</f>
        <v>0</v>
      </c>
      <c r="C42" s="60">
        <f aca="true" t="shared" si="29" ref="C42:M42">C38*$E$62</f>
        <v>0</v>
      </c>
      <c r="D42" s="60">
        <f t="shared" si="29"/>
        <v>0</v>
      </c>
      <c r="E42" s="60">
        <f t="shared" si="29"/>
        <v>0</v>
      </c>
      <c r="F42" s="60">
        <f t="shared" si="29"/>
        <v>0</v>
      </c>
      <c r="G42" s="60">
        <f t="shared" si="29"/>
        <v>0</v>
      </c>
      <c r="H42" s="60">
        <f t="shared" si="29"/>
        <v>0</v>
      </c>
      <c r="I42" s="60">
        <f t="shared" si="29"/>
        <v>0</v>
      </c>
      <c r="J42" s="60">
        <f t="shared" si="29"/>
        <v>0</v>
      </c>
      <c r="K42" s="60">
        <f t="shared" si="29"/>
        <v>0</v>
      </c>
      <c r="L42" s="60">
        <f t="shared" si="29"/>
        <v>0</v>
      </c>
      <c r="M42" s="60">
        <f t="shared" si="29"/>
        <v>0</v>
      </c>
      <c r="N42" s="61">
        <f t="shared" si="27"/>
        <v>0</v>
      </c>
    </row>
    <row r="43" spans="1:14" ht="15">
      <c r="A43" s="73" t="s">
        <v>29</v>
      </c>
      <c r="B43" s="60">
        <f aca="true" t="shared" si="30" ref="B43:M43">B42*60%</f>
        <v>0</v>
      </c>
      <c r="C43" s="60">
        <f t="shared" si="30"/>
        <v>0</v>
      </c>
      <c r="D43" s="60">
        <f t="shared" si="30"/>
        <v>0</v>
      </c>
      <c r="E43" s="60">
        <f t="shared" si="30"/>
        <v>0</v>
      </c>
      <c r="F43" s="60">
        <f t="shared" si="30"/>
        <v>0</v>
      </c>
      <c r="G43" s="60">
        <f t="shared" si="30"/>
        <v>0</v>
      </c>
      <c r="H43" s="60">
        <f t="shared" si="30"/>
        <v>0</v>
      </c>
      <c r="I43" s="60">
        <f t="shared" si="30"/>
        <v>0</v>
      </c>
      <c r="J43" s="60">
        <f t="shared" si="30"/>
        <v>0</v>
      </c>
      <c r="K43" s="60">
        <f t="shared" si="30"/>
        <v>0</v>
      </c>
      <c r="L43" s="60">
        <f t="shared" si="30"/>
        <v>0</v>
      </c>
      <c r="M43" s="66">
        <f t="shared" si="30"/>
        <v>0</v>
      </c>
      <c r="N43" s="61">
        <f t="shared" si="27"/>
        <v>0</v>
      </c>
    </row>
    <row r="44" spans="1:14" ht="15">
      <c r="A44" s="73" t="s">
        <v>174</v>
      </c>
      <c r="B44" s="60">
        <f>B39*$E$64</f>
        <v>0</v>
      </c>
      <c r="C44" s="60">
        <f aca="true" t="shared" si="31" ref="C44:M44">C39*$E$64</f>
        <v>0</v>
      </c>
      <c r="D44" s="60">
        <f t="shared" si="31"/>
        <v>0</v>
      </c>
      <c r="E44" s="60">
        <f t="shared" si="31"/>
        <v>0</v>
      </c>
      <c r="F44" s="60">
        <f t="shared" si="31"/>
        <v>0</v>
      </c>
      <c r="G44" s="60">
        <f t="shared" si="31"/>
        <v>0</v>
      </c>
      <c r="H44" s="60">
        <f t="shared" si="31"/>
        <v>0</v>
      </c>
      <c r="I44" s="60">
        <f t="shared" si="31"/>
        <v>0</v>
      </c>
      <c r="J44" s="60">
        <f t="shared" si="31"/>
        <v>0</v>
      </c>
      <c r="K44" s="60">
        <f t="shared" si="31"/>
        <v>0</v>
      </c>
      <c r="L44" s="60">
        <f t="shared" si="31"/>
        <v>0</v>
      </c>
      <c r="M44" s="60">
        <f t="shared" si="31"/>
        <v>0</v>
      </c>
      <c r="N44" s="61">
        <f t="shared" si="27"/>
        <v>0</v>
      </c>
    </row>
    <row r="45" spans="1:14" ht="15">
      <c r="A45" s="74" t="s">
        <v>30</v>
      </c>
      <c r="B45" s="74">
        <f aca="true" t="shared" si="32" ref="B45:M45">B38*$D$71</f>
        <v>0</v>
      </c>
      <c r="C45" s="74">
        <f t="shared" si="32"/>
        <v>0</v>
      </c>
      <c r="D45" s="74">
        <f t="shared" si="32"/>
        <v>0</v>
      </c>
      <c r="E45" s="74">
        <f t="shared" si="32"/>
        <v>0</v>
      </c>
      <c r="F45" s="74">
        <f t="shared" si="32"/>
        <v>0</v>
      </c>
      <c r="G45" s="74">
        <f t="shared" si="32"/>
        <v>0</v>
      </c>
      <c r="H45" s="74">
        <f t="shared" si="32"/>
        <v>0</v>
      </c>
      <c r="I45" s="74">
        <f t="shared" si="32"/>
        <v>0</v>
      </c>
      <c r="J45" s="74">
        <f t="shared" si="32"/>
        <v>0</v>
      </c>
      <c r="K45" s="74">
        <f t="shared" si="32"/>
        <v>0</v>
      </c>
      <c r="L45" s="74">
        <f t="shared" si="32"/>
        <v>0</v>
      </c>
      <c r="M45" s="74">
        <f t="shared" si="32"/>
        <v>0</v>
      </c>
      <c r="N45" s="75">
        <f t="shared" si="27"/>
        <v>0</v>
      </c>
    </row>
    <row r="46" spans="1:14" ht="15">
      <c r="A46" s="59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3"/>
    </row>
    <row r="47" spans="1:14" ht="15">
      <c r="A47" s="69"/>
      <c r="B47" s="220" t="s">
        <v>74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2"/>
      <c r="N47" s="61"/>
    </row>
    <row r="48" spans="1:14" ht="15">
      <c r="A48" s="69"/>
      <c r="B48" s="64">
        <f>+M37+1</f>
        <v>49</v>
      </c>
      <c r="C48" s="64">
        <f>+B48+1</f>
        <v>50</v>
      </c>
      <c r="D48" s="64">
        <f aca="true" t="shared" si="33" ref="D48:M48">+C48+1</f>
        <v>51</v>
      </c>
      <c r="E48" s="64">
        <f t="shared" si="33"/>
        <v>52</v>
      </c>
      <c r="F48" s="64">
        <f t="shared" si="33"/>
        <v>53</v>
      </c>
      <c r="G48" s="64">
        <f t="shared" si="33"/>
        <v>54</v>
      </c>
      <c r="H48" s="64">
        <f t="shared" si="33"/>
        <v>55</v>
      </c>
      <c r="I48" s="64">
        <f t="shared" si="33"/>
        <v>56</v>
      </c>
      <c r="J48" s="64">
        <f t="shared" si="33"/>
        <v>57</v>
      </c>
      <c r="K48" s="64">
        <f t="shared" si="33"/>
        <v>58</v>
      </c>
      <c r="L48" s="64">
        <f t="shared" si="33"/>
        <v>59</v>
      </c>
      <c r="M48" s="64">
        <f t="shared" si="33"/>
        <v>60</v>
      </c>
      <c r="N48" s="68" t="s">
        <v>75</v>
      </c>
    </row>
    <row r="49" spans="1:14" ht="15">
      <c r="A49" s="71" t="s">
        <v>24</v>
      </c>
      <c r="B49" s="71">
        <v>0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61">
        <f>SUM(B49:M49)/12</f>
        <v>0</v>
      </c>
    </row>
    <row r="50" spans="1:14" ht="15">
      <c r="A50" s="72" t="s">
        <v>25</v>
      </c>
      <c r="B50" s="60">
        <f aca="true" t="shared" si="34" ref="B50:L50">20%*B49</f>
        <v>0</v>
      </c>
      <c r="C50" s="60">
        <f t="shared" si="34"/>
        <v>0</v>
      </c>
      <c r="D50" s="60">
        <f t="shared" si="34"/>
        <v>0</v>
      </c>
      <c r="E50" s="60">
        <f t="shared" si="34"/>
        <v>0</v>
      </c>
      <c r="F50" s="60">
        <f t="shared" si="34"/>
        <v>0</v>
      </c>
      <c r="G50" s="60">
        <f t="shared" si="34"/>
        <v>0</v>
      </c>
      <c r="H50" s="60">
        <f t="shared" si="34"/>
        <v>0</v>
      </c>
      <c r="I50" s="60">
        <f t="shared" si="34"/>
        <v>0</v>
      </c>
      <c r="J50" s="60">
        <f t="shared" si="34"/>
        <v>0</v>
      </c>
      <c r="K50" s="60">
        <f t="shared" si="34"/>
        <v>0</v>
      </c>
      <c r="L50" s="60">
        <f t="shared" si="34"/>
        <v>0</v>
      </c>
      <c r="M50" s="66">
        <f>25%*M49</f>
        <v>0</v>
      </c>
      <c r="N50" s="61">
        <f>SUM(B50:M50)/12</f>
        <v>0</v>
      </c>
    </row>
    <row r="51" spans="1:14" ht="15">
      <c r="A51" s="72" t="s">
        <v>26</v>
      </c>
      <c r="B51" s="67">
        <f>B49*$F$60</f>
        <v>0</v>
      </c>
      <c r="C51" s="67">
        <f aca="true" t="shared" si="35" ref="C51:M51">C49*$F$60</f>
        <v>0</v>
      </c>
      <c r="D51" s="67">
        <f t="shared" si="35"/>
        <v>0</v>
      </c>
      <c r="E51" s="67">
        <f t="shared" si="35"/>
        <v>0</v>
      </c>
      <c r="F51" s="67">
        <f t="shared" si="35"/>
        <v>0</v>
      </c>
      <c r="G51" s="67">
        <f t="shared" si="35"/>
        <v>0</v>
      </c>
      <c r="H51" s="67">
        <f t="shared" si="35"/>
        <v>0</v>
      </c>
      <c r="I51" s="67">
        <f t="shared" si="35"/>
        <v>0</v>
      </c>
      <c r="J51" s="67">
        <f t="shared" si="35"/>
        <v>0</v>
      </c>
      <c r="K51" s="67">
        <f t="shared" si="35"/>
        <v>0</v>
      </c>
      <c r="L51" s="67">
        <f t="shared" si="35"/>
        <v>0</v>
      </c>
      <c r="M51" s="67">
        <f t="shared" si="35"/>
        <v>0</v>
      </c>
      <c r="N51" s="61">
        <f aca="true" t="shared" si="36" ref="N51:N56">SUM(B51:M51)</f>
        <v>0</v>
      </c>
    </row>
    <row r="52" spans="1:14" ht="15">
      <c r="A52" s="72" t="s">
        <v>27</v>
      </c>
      <c r="B52" s="60">
        <f>B49*$F$61</f>
        <v>0</v>
      </c>
      <c r="C52" s="60">
        <f aca="true" t="shared" si="37" ref="C52:M52">C49*$F$61</f>
        <v>0</v>
      </c>
      <c r="D52" s="60">
        <f t="shared" si="37"/>
        <v>0</v>
      </c>
      <c r="E52" s="60">
        <f t="shared" si="37"/>
        <v>0</v>
      </c>
      <c r="F52" s="60">
        <f t="shared" si="37"/>
        <v>0</v>
      </c>
      <c r="G52" s="60">
        <f t="shared" si="37"/>
        <v>0</v>
      </c>
      <c r="H52" s="60">
        <f t="shared" si="37"/>
        <v>0</v>
      </c>
      <c r="I52" s="60">
        <f t="shared" si="37"/>
        <v>0</v>
      </c>
      <c r="J52" s="60">
        <f t="shared" si="37"/>
        <v>0</v>
      </c>
      <c r="K52" s="60">
        <f t="shared" si="37"/>
        <v>0</v>
      </c>
      <c r="L52" s="60">
        <f t="shared" si="37"/>
        <v>0</v>
      </c>
      <c r="M52" s="60">
        <f t="shared" si="37"/>
        <v>0</v>
      </c>
      <c r="N52" s="61">
        <f t="shared" si="36"/>
        <v>0</v>
      </c>
    </row>
    <row r="53" spans="1:14" ht="15">
      <c r="A53" s="73" t="s">
        <v>28</v>
      </c>
      <c r="B53" s="60">
        <f>B49*$F$62</f>
        <v>0</v>
      </c>
      <c r="C53" s="60">
        <f aca="true" t="shared" si="38" ref="C53:M53">C49*$F$62</f>
        <v>0</v>
      </c>
      <c r="D53" s="60">
        <f t="shared" si="38"/>
        <v>0</v>
      </c>
      <c r="E53" s="60">
        <f t="shared" si="38"/>
        <v>0</v>
      </c>
      <c r="F53" s="60">
        <f t="shared" si="38"/>
        <v>0</v>
      </c>
      <c r="G53" s="60">
        <f t="shared" si="38"/>
        <v>0</v>
      </c>
      <c r="H53" s="60">
        <f t="shared" si="38"/>
        <v>0</v>
      </c>
      <c r="I53" s="60">
        <f t="shared" si="38"/>
        <v>0</v>
      </c>
      <c r="J53" s="60">
        <f t="shared" si="38"/>
        <v>0</v>
      </c>
      <c r="K53" s="60">
        <f t="shared" si="38"/>
        <v>0</v>
      </c>
      <c r="L53" s="60">
        <f t="shared" si="38"/>
        <v>0</v>
      </c>
      <c r="M53" s="60">
        <f t="shared" si="38"/>
        <v>0</v>
      </c>
      <c r="N53" s="61">
        <f t="shared" si="36"/>
        <v>0</v>
      </c>
    </row>
    <row r="54" spans="1:14" ht="15">
      <c r="A54" s="73" t="s">
        <v>29</v>
      </c>
      <c r="B54" s="60">
        <f>B53*60%</f>
        <v>0</v>
      </c>
      <c r="C54" s="60">
        <f aca="true" t="shared" si="39" ref="C54:M54">C53*60%</f>
        <v>0</v>
      </c>
      <c r="D54" s="60">
        <f t="shared" si="39"/>
        <v>0</v>
      </c>
      <c r="E54" s="60">
        <f t="shared" si="39"/>
        <v>0</v>
      </c>
      <c r="F54" s="60">
        <f t="shared" si="39"/>
        <v>0</v>
      </c>
      <c r="G54" s="60">
        <f t="shared" si="39"/>
        <v>0</v>
      </c>
      <c r="H54" s="60">
        <f t="shared" si="39"/>
        <v>0</v>
      </c>
      <c r="I54" s="60">
        <f t="shared" si="39"/>
        <v>0</v>
      </c>
      <c r="J54" s="60">
        <f t="shared" si="39"/>
        <v>0</v>
      </c>
      <c r="K54" s="60">
        <f t="shared" si="39"/>
        <v>0</v>
      </c>
      <c r="L54" s="60">
        <f t="shared" si="39"/>
        <v>0</v>
      </c>
      <c r="M54" s="60">
        <f t="shared" si="39"/>
        <v>0</v>
      </c>
      <c r="N54" s="61">
        <f t="shared" si="36"/>
        <v>0</v>
      </c>
    </row>
    <row r="55" spans="1:14" ht="15">
      <c r="A55" s="73" t="s">
        <v>174</v>
      </c>
      <c r="B55" s="60">
        <f>B50*$F$64</f>
        <v>0</v>
      </c>
      <c r="C55" s="60">
        <f aca="true" t="shared" si="40" ref="C55:M55">C50*$F$64</f>
        <v>0</v>
      </c>
      <c r="D55" s="60">
        <f t="shared" si="40"/>
        <v>0</v>
      </c>
      <c r="E55" s="60">
        <f t="shared" si="40"/>
        <v>0</v>
      </c>
      <c r="F55" s="60">
        <f t="shared" si="40"/>
        <v>0</v>
      </c>
      <c r="G55" s="60">
        <f t="shared" si="40"/>
        <v>0</v>
      </c>
      <c r="H55" s="60">
        <f t="shared" si="40"/>
        <v>0</v>
      </c>
      <c r="I55" s="60">
        <f t="shared" si="40"/>
        <v>0</v>
      </c>
      <c r="J55" s="60">
        <f t="shared" si="40"/>
        <v>0</v>
      </c>
      <c r="K55" s="60">
        <f t="shared" si="40"/>
        <v>0</v>
      </c>
      <c r="L55" s="60">
        <f t="shared" si="40"/>
        <v>0</v>
      </c>
      <c r="M55" s="60">
        <f t="shared" si="40"/>
        <v>0</v>
      </c>
      <c r="N55" s="61">
        <f t="shared" si="36"/>
        <v>0</v>
      </c>
    </row>
    <row r="56" spans="1:14" ht="15">
      <c r="A56" s="74" t="s">
        <v>30</v>
      </c>
      <c r="B56" s="74">
        <f aca="true" t="shared" si="41" ref="B56:M56">B49*$D$71</f>
        <v>0</v>
      </c>
      <c r="C56" s="74">
        <f t="shared" si="41"/>
        <v>0</v>
      </c>
      <c r="D56" s="74">
        <f t="shared" si="41"/>
        <v>0</v>
      </c>
      <c r="E56" s="74">
        <f t="shared" si="41"/>
        <v>0</v>
      </c>
      <c r="F56" s="74">
        <f t="shared" si="41"/>
        <v>0</v>
      </c>
      <c r="G56" s="74">
        <f t="shared" si="41"/>
        <v>0</v>
      </c>
      <c r="H56" s="74">
        <f t="shared" si="41"/>
        <v>0</v>
      </c>
      <c r="I56" s="74">
        <f t="shared" si="41"/>
        <v>0</v>
      </c>
      <c r="J56" s="74">
        <f t="shared" si="41"/>
        <v>0</v>
      </c>
      <c r="K56" s="74">
        <f t="shared" si="41"/>
        <v>0</v>
      </c>
      <c r="L56" s="74">
        <f t="shared" si="41"/>
        <v>0</v>
      </c>
      <c r="M56" s="74">
        <f t="shared" si="41"/>
        <v>0</v>
      </c>
      <c r="N56" s="75">
        <f t="shared" si="36"/>
        <v>0</v>
      </c>
    </row>
    <row r="58" spans="1:6" ht="15">
      <c r="A58" s="77" t="s">
        <v>31</v>
      </c>
      <c r="B58" s="193" t="s">
        <v>189</v>
      </c>
      <c r="C58" s="193" t="s">
        <v>189</v>
      </c>
      <c r="D58" s="193" t="s">
        <v>189</v>
      </c>
      <c r="E58" s="193" t="s">
        <v>77</v>
      </c>
      <c r="F58" s="193" t="s">
        <v>77</v>
      </c>
    </row>
    <row r="59" spans="1:6" ht="15">
      <c r="A59" s="24"/>
      <c r="B59" s="78">
        <v>2011</v>
      </c>
      <c r="C59" s="78">
        <v>2012</v>
      </c>
      <c r="D59" s="78">
        <v>2013</v>
      </c>
      <c r="E59" s="78">
        <v>2014</v>
      </c>
      <c r="F59" s="78">
        <v>2015</v>
      </c>
    </row>
    <row r="60" spans="1:6" ht="15">
      <c r="A60" s="24" t="s">
        <v>188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</row>
    <row r="61" spans="1:6" ht="15">
      <c r="A61" s="24" t="s">
        <v>32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</row>
    <row r="62" spans="1:6" ht="15">
      <c r="A62" s="24" t="s">
        <v>33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</row>
    <row r="63" spans="1:6" ht="15">
      <c r="A63" s="24" t="s">
        <v>34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</row>
    <row r="64" spans="1:6" ht="15">
      <c r="A64" s="24" t="s">
        <v>35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</row>
    <row r="65" spans="1:6" ht="15">
      <c r="A65" s="24"/>
      <c r="B65" s="24"/>
      <c r="C65" s="24"/>
      <c r="D65" s="24"/>
      <c r="E65" s="24"/>
      <c r="F65" s="24"/>
    </row>
    <row r="66" spans="1:6" ht="15">
      <c r="A66" s="194" t="s">
        <v>36</v>
      </c>
      <c r="B66" s="24"/>
      <c r="C66" s="24"/>
      <c r="D66" s="24"/>
      <c r="E66" s="25"/>
      <c r="F66" s="24"/>
    </row>
    <row r="67" spans="1:6" ht="15">
      <c r="A67" s="24" t="s">
        <v>37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</row>
    <row r="68" spans="1:6" ht="15">
      <c r="A68" s="24" t="s">
        <v>38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</row>
    <row r="69" spans="1:6" ht="15">
      <c r="A69" s="24" t="s">
        <v>190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</row>
    <row r="70" spans="1:6" ht="15">
      <c r="A70" s="24"/>
      <c r="B70" s="25"/>
      <c r="C70" s="25"/>
      <c r="D70" s="25"/>
      <c r="E70" s="25"/>
      <c r="F70" s="25"/>
    </row>
    <row r="71" spans="1:6" ht="15">
      <c r="A71" s="24" t="s">
        <v>39</v>
      </c>
      <c r="B71" s="83">
        <f>+Revenues!B13</f>
        <v>0</v>
      </c>
      <c r="C71" s="83">
        <f>+Revenues!C13</f>
        <v>0</v>
      </c>
      <c r="D71" s="83">
        <f>+Revenues!D13</f>
        <v>0</v>
      </c>
      <c r="E71" s="83">
        <f>+Revenues!E13</f>
        <v>0</v>
      </c>
      <c r="F71" s="83">
        <f>+Revenues!F13</f>
        <v>0</v>
      </c>
    </row>
    <row r="73" spans="1:14" s="128" customFormat="1" ht="15">
      <c r="A73" s="24" t="s">
        <v>186</v>
      </c>
      <c r="B73" s="188">
        <v>0</v>
      </c>
      <c r="N73" s="58"/>
    </row>
    <row r="74" spans="1:6" ht="33" customHeight="1">
      <c r="A74" s="191" t="s">
        <v>187</v>
      </c>
      <c r="B74" s="190">
        <f>+B73*0.23*0.75*1.075</f>
        <v>0</v>
      </c>
      <c r="C74" s="128"/>
      <c r="D74" s="128"/>
      <c r="E74" s="128"/>
      <c r="F74" s="128"/>
    </row>
    <row r="75" spans="1:2" ht="15">
      <c r="A75" s="24" t="s">
        <v>192</v>
      </c>
      <c r="B75" s="188">
        <v>0</v>
      </c>
    </row>
    <row r="76" spans="1:2" ht="15">
      <c r="A76" s="24" t="s">
        <v>185</v>
      </c>
      <c r="B76" s="189" t="e">
        <f>B74/B75</f>
        <v>#DIV/0!</v>
      </c>
    </row>
  </sheetData>
  <sheetProtection/>
  <mergeCells count="6">
    <mergeCell ref="B47:M47"/>
    <mergeCell ref="A1:N1"/>
    <mergeCell ref="B3:M3"/>
    <mergeCell ref="B14:M14"/>
    <mergeCell ref="B25:M25"/>
    <mergeCell ref="B36:M36"/>
  </mergeCells>
  <printOptions gridLines="1" headings="1"/>
  <pageMargins left="0.7086614173228347" right="0.7086614173228347" top="0.7480314960629921" bottom="0.7480314960629921" header="0.31496062992125984" footer="0.31496062992125984"/>
  <pageSetup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3" sqref="B33"/>
    </sheetView>
  </sheetViews>
  <sheetFormatPr defaultColWidth="9.140625" defaultRowHeight="15"/>
  <cols>
    <col min="1" max="1" width="63.00390625" style="27" customWidth="1"/>
    <col min="2" max="2" width="15.140625" style="27" customWidth="1"/>
    <col min="3" max="3" width="13.28125" style="27" customWidth="1"/>
    <col min="4" max="16384" width="9.140625" style="27" customWidth="1"/>
  </cols>
  <sheetData>
    <row r="1" spans="1:3" ht="21">
      <c r="A1" s="227" t="s">
        <v>157</v>
      </c>
      <c r="B1" s="227"/>
      <c r="C1" s="227"/>
    </row>
    <row r="3" spans="1:3" ht="15">
      <c r="A3" s="144"/>
      <c r="B3" s="228" t="s">
        <v>156</v>
      </c>
      <c r="C3" s="229"/>
    </row>
    <row r="4" spans="1:3" ht="15">
      <c r="A4" s="144"/>
      <c r="B4" s="145" t="s">
        <v>158</v>
      </c>
      <c r="C4" s="145" t="s">
        <v>159</v>
      </c>
    </row>
    <row r="5" spans="1:3" s="146" customFormat="1" ht="15">
      <c r="A5" s="150" t="s">
        <v>152</v>
      </c>
      <c r="B5" s="148">
        <v>0</v>
      </c>
      <c r="C5" s="195" t="e">
        <f>+B5/$B$10</f>
        <v>#DIV/0!</v>
      </c>
    </row>
    <row r="6" spans="1:3" s="146" customFormat="1" ht="15">
      <c r="A6" s="150" t="s">
        <v>194</v>
      </c>
      <c r="B6" s="148">
        <v>0</v>
      </c>
      <c r="C6" s="195" t="e">
        <f>+B6/$B$10</f>
        <v>#DIV/0!</v>
      </c>
    </row>
    <row r="7" spans="1:3" ht="15">
      <c r="A7" s="150" t="s">
        <v>153</v>
      </c>
      <c r="B7" s="148">
        <v>0</v>
      </c>
      <c r="C7" s="195" t="e">
        <f>+B7/$B$10</f>
        <v>#DIV/0!</v>
      </c>
    </row>
    <row r="8" spans="1:3" ht="15">
      <c r="A8" s="150" t="s">
        <v>155</v>
      </c>
      <c r="B8" s="148">
        <v>0</v>
      </c>
      <c r="C8" s="195" t="e">
        <f>+B8/$B$10</f>
        <v>#DIV/0!</v>
      </c>
    </row>
    <row r="9" spans="1:3" ht="15">
      <c r="A9" s="150" t="s">
        <v>160</v>
      </c>
      <c r="B9" s="148">
        <v>0</v>
      </c>
      <c r="C9" s="195" t="e">
        <f>+B9/$B$10</f>
        <v>#DIV/0!</v>
      </c>
    </row>
    <row r="10" spans="1:3" ht="15">
      <c r="A10" s="151" t="s">
        <v>163</v>
      </c>
      <c r="B10" s="152">
        <f>SUM(B5:B9)</f>
        <v>0</v>
      </c>
      <c r="C10" s="154" t="e">
        <f>SUM(C5:C9)</f>
        <v>#DIV/0!</v>
      </c>
    </row>
    <row r="12" spans="1:3" ht="15">
      <c r="A12" s="150" t="s">
        <v>154</v>
      </c>
      <c r="B12" s="149">
        <v>0</v>
      </c>
      <c r="C12" s="153" t="e">
        <f>+B12/$B$15</f>
        <v>#DIV/0!</v>
      </c>
    </row>
    <row r="13" spans="1:3" ht="15">
      <c r="A13" s="150" t="s">
        <v>162</v>
      </c>
      <c r="B13" s="149">
        <v>0</v>
      </c>
      <c r="C13" s="153" t="e">
        <f>+B13/$B$15</f>
        <v>#DIV/0!</v>
      </c>
    </row>
    <row r="14" spans="1:3" ht="15">
      <c r="A14" s="150" t="s">
        <v>161</v>
      </c>
      <c r="B14" s="149">
        <v>0</v>
      </c>
      <c r="C14" s="153" t="e">
        <f>+B14/$B$15</f>
        <v>#DIV/0!</v>
      </c>
    </row>
    <row r="15" spans="1:3" ht="15">
      <c r="A15" s="151" t="s">
        <v>163</v>
      </c>
      <c r="B15" s="152">
        <f>SUM(B12:B14)</f>
        <v>0</v>
      </c>
      <c r="C15" s="154" t="e">
        <f>SUM(C12:C14)</f>
        <v>#DIV/0!</v>
      </c>
    </row>
    <row r="17" spans="1:3" ht="15">
      <c r="A17" s="150" t="s">
        <v>164</v>
      </c>
      <c r="B17" s="149">
        <v>0</v>
      </c>
      <c r="C17" s="153"/>
    </row>
    <row r="18" spans="1:3" ht="15">
      <c r="A18" s="150" t="s">
        <v>167</v>
      </c>
      <c r="B18" s="149">
        <v>0</v>
      </c>
      <c r="C18" s="153"/>
    </row>
    <row r="19" spans="1:3" ht="15">
      <c r="A19" s="150" t="s">
        <v>168</v>
      </c>
      <c r="B19" s="149">
        <v>0</v>
      </c>
      <c r="C19" s="153" t="e">
        <f>+B19/B21</f>
        <v>#DIV/0!</v>
      </c>
    </row>
    <row r="20" spans="1:3" ht="15">
      <c r="A20" s="150" t="s">
        <v>165</v>
      </c>
      <c r="B20" s="149">
        <v>0</v>
      </c>
      <c r="C20" s="153"/>
    </row>
    <row r="21" spans="1:3" ht="15">
      <c r="A21" s="150" t="s">
        <v>162</v>
      </c>
      <c r="B21" s="149">
        <v>0</v>
      </c>
      <c r="C21" s="153"/>
    </row>
    <row r="22" spans="1:3" ht="15">
      <c r="A22" s="151" t="s">
        <v>166</v>
      </c>
      <c r="B22" s="152"/>
      <c r="C22" s="154"/>
    </row>
    <row r="24" spans="1:3" ht="15">
      <c r="A24" s="150" t="s">
        <v>169</v>
      </c>
      <c r="B24" s="149">
        <v>0</v>
      </c>
      <c r="C24" s="153"/>
    </row>
    <row r="25" spans="1:3" ht="15">
      <c r="A25" s="150" t="s">
        <v>170</v>
      </c>
      <c r="B25" s="149">
        <v>0</v>
      </c>
      <c r="C25" s="153"/>
    </row>
    <row r="26" spans="1:3" ht="15">
      <c r="A26" s="150" t="s">
        <v>171</v>
      </c>
      <c r="B26" s="149">
        <v>0</v>
      </c>
      <c r="C26" s="153" t="e">
        <f>+B26/B28</f>
        <v>#DIV/0!</v>
      </c>
    </row>
    <row r="27" spans="1:3" ht="15">
      <c r="A27" s="150" t="s">
        <v>165</v>
      </c>
      <c r="B27" s="149">
        <v>0</v>
      </c>
      <c r="C27" s="153"/>
    </row>
    <row r="28" spans="1:3" ht="15">
      <c r="A28" s="150" t="s">
        <v>162</v>
      </c>
      <c r="B28" s="149">
        <v>0</v>
      </c>
      <c r="C28" s="153"/>
    </row>
    <row r="29" spans="1:3" ht="15">
      <c r="A29" s="151" t="s">
        <v>166</v>
      </c>
      <c r="B29" s="152"/>
      <c r="C29" s="154"/>
    </row>
    <row r="31" spans="1:3" ht="15">
      <c r="A31" s="150" t="s">
        <v>172</v>
      </c>
      <c r="B31" s="149">
        <v>0</v>
      </c>
      <c r="C31" s="153" t="e">
        <f>+B31/$B$33</f>
        <v>#DIV/0!</v>
      </c>
    </row>
    <row r="32" spans="1:3" ht="15">
      <c r="A32" s="150" t="s">
        <v>173</v>
      </c>
      <c r="B32" s="149">
        <v>0</v>
      </c>
      <c r="C32" s="153" t="e">
        <f>+B32/$B$33</f>
        <v>#DIV/0!</v>
      </c>
    </row>
    <row r="33" spans="1:3" ht="15">
      <c r="A33" s="151" t="s">
        <v>163</v>
      </c>
      <c r="B33" s="152">
        <f>SUM(B31:B32)</f>
        <v>0</v>
      </c>
      <c r="C33" s="154" t="e">
        <f>SUM(C31:C32)</f>
        <v>#DIV/0!</v>
      </c>
    </row>
  </sheetData>
  <sheetProtection/>
  <mergeCells count="2">
    <mergeCell ref="A1:C1"/>
    <mergeCell ref="B3:C3"/>
  </mergeCells>
  <printOptions gridLines="1" headings="1"/>
  <pageMargins left="0.7086614173228347" right="0.7086614173228347" top="0.7480314960629921" bottom="0.7480314960629921" header="0.31496062992125984" footer="0.31496062992125984"/>
  <pageSetup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6" sqref="F6"/>
    </sheetView>
  </sheetViews>
  <sheetFormatPr defaultColWidth="34.421875" defaultRowHeight="15"/>
  <cols>
    <col min="1" max="1" width="34.421875" style="27" customWidth="1"/>
    <col min="2" max="4" width="14.421875" style="27" customWidth="1"/>
    <col min="5" max="5" width="15.28125" style="27" customWidth="1"/>
    <col min="6" max="6" width="15.7109375" style="27" customWidth="1"/>
    <col min="7" max="7" width="18.140625" style="27" customWidth="1"/>
    <col min="8" max="9" width="15.7109375" style="27" customWidth="1"/>
    <col min="10" max="16384" width="34.421875" style="27" customWidth="1"/>
  </cols>
  <sheetData>
    <row r="1" spans="1:7" ht="21">
      <c r="A1" s="223" t="s">
        <v>175</v>
      </c>
      <c r="B1" s="223"/>
      <c r="C1" s="223"/>
      <c r="D1" s="223"/>
      <c r="E1" s="223"/>
      <c r="F1" s="223"/>
      <c r="G1" s="223"/>
    </row>
    <row r="3" ht="15">
      <c r="A3" s="161"/>
    </row>
    <row r="4" spans="1:6" ht="15">
      <c r="A4" s="230" t="s">
        <v>178</v>
      </c>
      <c r="B4" s="230"/>
      <c r="C4" s="230"/>
      <c r="D4" s="230"/>
      <c r="E4" s="230"/>
      <c r="F4" s="230"/>
    </row>
    <row r="5" spans="1:6" ht="60">
      <c r="A5" s="162" t="s">
        <v>54</v>
      </c>
      <c r="B5" s="163" t="s">
        <v>181</v>
      </c>
      <c r="C5" s="163" t="s">
        <v>176</v>
      </c>
      <c r="D5" s="163" t="s">
        <v>177</v>
      </c>
      <c r="E5" s="163" t="s">
        <v>179</v>
      </c>
      <c r="F5" s="163" t="s">
        <v>180</v>
      </c>
    </row>
    <row r="6" spans="1:6" ht="15">
      <c r="A6" s="159" t="s">
        <v>55</v>
      </c>
      <c r="B6" s="160">
        <v>0</v>
      </c>
      <c r="C6" s="160">
        <v>0</v>
      </c>
      <c r="D6" s="167">
        <v>4</v>
      </c>
      <c r="E6" s="167">
        <f>+D6*B6*12</f>
        <v>0</v>
      </c>
      <c r="F6" s="168" t="e">
        <f>+E6/C6</f>
        <v>#DIV/0!</v>
      </c>
    </row>
    <row r="7" spans="1:6" ht="15">
      <c r="A7" s="159" t="s">
        <v>56</v>
      </c>
      <c r="B7" s="160">
        <v>0</v>
      </c>
      <c r="C7" s="160">
        <v>0</v>
      </c>
      <c r="D7" s="167">
        <v>9</v>
      </c>
      <c r="E7" s="167">
        <f aca="true" t="shared" si="0" ref="E7:E12">+D7*B7*12</f>
        <v>0</v>
      </c>
      <c r="F7" s="168" t="e">
        <f aca="true" t="shared" si="1" ref="F7:F12">+E7/C7</f>
        <v>#DIV/0!</v>
      </c>
    </row>
    <row r="8" spans="1:6" ht="15">
      <c r="A8" s="159" t="s">
        <v>57</v>
      </c>
      <c r="B8" s="160">
        <v>0</v>
      </c>
      <c r="C8" s="160">
        <v>0</v>
      </c>
      <c r="D8" s="167">
        <v>18</v>
      </c>
      <c r="E8" s="167">
        <f t="shared" si="0"/>
        <v>0</v>
      </c>
      <c r="F8" s="168" t="e">
        <f t="shared" si="1"/>
        <v>#DIV/0!</v>
      </c>
    </row>
    <row r="9" spans="1:6" ht="15">
      <c r="A9" s="159" t="s">
        <v>58</v>
      </c>
      <c r="B9" s="160">
        <v>0</v>
      </c>
      <c r="C9" s="160">
        <v>0</v>
      </c>
      <c r="D9" s="167">
        <v>25</v>
      </c>
      <c r="E9" s="167">
        <f t="shared" si="0"/>
        <v>0</v>
      </c>
      <c r="F9" s="168" t="e">
        <f t="shared" si="1"/>
        <v>#DIV/0!</v>
      </c>
    </row>
    <row r="10" spans="1:6" ht="15">
      <c r="A10" s="159" t="s">
        <v>59</v>
      </c>
      <c r="B10" s="160">
        <v>0</v>
      </c>
      <c r="C10" s="160">
        <v>0</v>
      </c>
      <c r="D10" s="167">
        <v>32</v>
      </c>
      <c r="E10" s="167">
        <f t="shared" si="0"/>
        <v>0</v>
      </c>
      <c r="F10" s="168" t="e">
        <f t="shared" si="1"/>
        <v>#DIV/0!</v>
      </c>
    </row>
    <row r="11" spans="1:6" ht="15">
      <c r="A11" s="159" t="s">
        <v>60</v>
      </c>
      <c r="B11" s="160">
        <v>0</v>
      </c>
      <c r="C11" s="160">
        <v>0</v>
      </c>
      <c r="D11" s="167">
        <v>42</v>
      </c>
      <c r="E11" s="167">
        <f t="shared" si="0"/>
        <v>0</v>
      </c>
      <c r="F11" s="168" t="e">
        <f t="shared" si="1"/>
        <v>#DIV/0!</v>
      </c>
    </row>
    <row r="12" spans="1:6" ht="15">
      <c r="A12" s="159" t="s">
        <v>61</v>
      </c>
      <c r="B12" s="160">
        <v>0</v>
      </c>
      <c r="C12" s="160">
        <v>0</v>
      </c>
      <c r="D12" s="167">
        <v>70</v>
      </c>
      <c r="E12" s="167">
        <f t="shared" si="0"/>
        <v>0</v>
      </c>
      <c r="F12" s="168" t="e">
        <f t="shared" si="1"/>
        <v>#DIV/0!</v>
      </c>
    </row>
    <row r="13" spans="1:6" ht="15">
      <c r="A13" s="164" t="s">
        <v>62</v>
      </c>
      <c r="B13" s="166">
        <f>SUM(B6:B12)</f>
        <v>0</v>
      </c>
      <c r="C13" s="165">
        <f>SUM(C6:C12)</f>
        <v>0</v>
      </c>
      <c r="D13" s="165"/>
      <c r="E13" s="165">
        <f>SUM(E6:E12)</f>
        <v>0</v>
      </c>
      <c r="F13" s="169" t="e">
        <f>+E13/C13</f>
        <v>#DIV/0!</v>
      </c>
    </row>
    <row r="14" ht="15">
      <c r="A14" s="161"/>
    </row>
  </sheetData>
  <sheetProtection/>
  <mergeCells count="2">
    <mergeCell ref="A1:G1"/>
    <mergeCell ref="A4:F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Stallo Pavlou Kalli</dc:creator>
  <cp:keywords/>
  <dc:description/>
  <cp:lastModifiedBy> </cp:lastModifiedBy>
  <cp:lastPrinted>2011-09-15T11:28:20Z</cp:lastPrinted>
  <dcterms:created xsi:type="dcterms:W3CDTF">2011-08-30T10:46:56Z</dcterms:created>
  <dcterms:modified xsi:type="dcterms:W3CDTF">2011-10-20T05:12:15Z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